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figueroa\Documents\FFigueroa\Varios\Personal\Pichi 2018\"/>
    </mc:Choice>
  </mc:AlternateContent>
  <bookViews>
    <workbookView xWindow="240" yWindow="135" windowWidth="20115" windowHeight="7485" activeTab="5"/>
  </bookViews>
  <sheets>
    <sheet name="Ratings" sheetId="1" r:id="rId1"/>
    <sheet name="Regata 10-2-18" sheetId="2" r:id="rId2"/>
    <sheet name="Regata 11-2-18" sheetId="3" r:id="rId3"/>
    <sheet name="Regata 13-2-18" sheetId="4" r:id="rId4"/>
    <sheet name="Regata 17-2-18" sheetId="7" r:id="rId5"/>
    <sheet name="Regata 31-3-18" sheetId="8" r:id="rId6"/>
    <sheet name="Aero" sheetId="5" r:id="rId7"/>
  </sheets>
  <externalReferences>
    <externalReference r:id="rId8"/>
    <externalReference r:id="rId9"/>
    <externalReference r:id="rId10"/>
  </externalReferences>
  <definedNames>
    <definedName name="_xlnm.Print_Area" localSheetId="0">Ratings!$A$1:$O$33</definedName>
    <definedName name="_xlnm.Print_Area" localSheetId="1">'Regata 10-2-18'!$A$1:$L$14</definedName>
    <definedName name="_xlnm.Print_Area" localSheetId="2">'Regata 11-2-18'!$A$1:$L$17</definedName>
    <definedName name="_xlnm.Print_Area" localSheetId="3">'Regata 13-2-18'!$A$1:$L$12</definedName>
    <definedName name="_xlnm.Print_Area" localSheetId="4">'Regata 17-2-18'!$A$1:$L$12</definedName>
    <definedName name="_xlnm.Print_Area" localSheetId="5">'Regata 31-3-18'!$A$1:$I$13</definedName>
  </definedNames>
  <calcPr calcId="162913"/>
</workbook>
</file>

<file path=xl/calcChain.xml><?xml version="1.0" encoding="utf-8"?>
<calcChain xmlns="http://schemas.openxmlformats.org/spreadsheetml/2006/main">
  <c r="H7" i="8" l="1"/>
  <c r="G13" i="8"/>
  <c r="H13" i="8" s="1"/>
  <c r="G12" i="8"/>
  <c r="H12" i="8" s="1"/>
  <c r="G11" i="8"/>
  <c r="H11" i="8" s="1"/>
  <c r="G10" i="8"/>
  <c r="H10" i="8" s="1"/>
  <c r="G9" i="8"/>
  <c r="H9" i="8" s="1"/>
  <c r="G8" i="8"/>
  <c r="H8" i="8" s="1"/>
  <c r="G6" i="8"/>
  <c r="H6" i="8" s="1"/>
  <c r="G5" i="8"/>
  <c r="H5" i="8" s="1"/>
  <c r="E72" i="1" l="1"/>
  <c r="D72" i="1"/>
  <c r="E71" i="1"/>
  <c r="D71" i="1"/>
  <c r="E70" i="1"/>
  <c r="D70" i="1"/>
  <c r="E69" i="1"/>
  <c r="D69" i="1"/>
  <c r="E68" i="1"/>
  <c r="D68" i="1"/>
  <c r="G67" i="1"/>
  <c r="C67" i="1" s="1"/>
  <c r="B67" i="1"/>
  <c r="G65" i="1"/>
  <c r="E66" i="1"/>
  <c r="D66" i="1"/>
  <c r="B65" i="1"/>
  <c r="D65" i="1" s="1"/>
  <c r="B64" i="1"/>
  <c r="E64" i="1" s="1"/>
  <c r="B62" i="1"/>
  <c r="E62" i="1" s="1"/>
  <c r="B61" i="1"/>
  <c r="D61" i="1" s="1"/>
  <c r="B60" i="1"/>
  <c r="D60" i="1" s="1"/>
  <c r="D62" i="1" l="1"/>
  <c r="D64" i="1"/>
  <c r="E67" i="1"/>
  <c r="D67" i="1"/>
  <c r="E60" i="1"/>
  <c r="E61" i="1"/>
  <c r="E65" i="1"/>
  <c r="F53" i="1"/>
  <c r="G27" i="7" s="1"/>
  <c r="F46" i="1"/>
  <c r="G19" i="7" s="1"/>
  <c r="F50" i="1"/>
  <c r="G23" i="7" s="1"/>
  <c r="F48" i="1"/>
  <c r="G21" i="7" s="1"/>
  <c r="F47" i="1"/>
  <c r="G16" i="2" s="1"/>
  <c r="B54" i="1"/>
  <c r="B53" i="1"/>
  <c r="E53" i="1" s="1"/>
  <c r="B50" i="1"/>
  <c r="B49" i="1"/>
  <c r="B47" i="1"/>
  <c r="B46" i="1"/>
  <c r="B51" i="1"/>
  <c r="I51" i="1" s="1"/>
  <c r="B52" i="1"/>
  <c r="D53" i="1"/>
  <c r="G24" i="7" l="1"/>
  <c r="D50" i="1"/>
  <c r="E50" i="1"/>
  <c r="G19" i="3"/>
  <c r="D46" i="1"/>
  <c r="E46" i="1"/>
  <c r="G18" i="2"/>
  <c r="D47" i="1"/>
  <c r="E47" i="1"/>
  <c r="G16" i="3"/>
  <c r="G14" i="2"/>
  <c r="G20" i="7"/>
  <c r="G12" i="2"/>
  <c r="G18" i="3"/>
  <c r="H27" i="7" l="1"/>
  <c r="H24" i="7"/>
  <c r="H23" i="7"/>
  <c r="H20" i="7"/>
  <c r="H19" i="7"/>
  <c r="H21" i="7"/>
  <c r="R27" i="7"/>
  <c r="R24" i="7"/>
  <c r="R23" i="7"/>
  <c r="R20" i="7"/>
  <c r="R21" i="7"/>
  <c r="R19" i="7"/>
  <c r="D24" i="1"/>
  <c r="G32" i="7"/>
  <c r="U27" i="7"/>
  <c r="U25" i="7"/>
  <c r="U20" i="7"/>
  <c r="U19" i="7"/>
  <c r="U22" i="7"/>
  <c r="U23" i="7"/>
  <c r="G11" i="7"/>
  <c r="H11" i="7" s="1"/>
  <c r="G13" i="7"/>
  <c r="H13" i="7" s="1"/>
  <c r="G12" i="7"/>
  <c r="H12" i="7" s="1"/>
  <c r="G7" i="7"/>
  <c r="H7" i="7" s="1"/>
  <c r="G8" i="7"/>
  <c r="H8" i="7" s="1"/>
  <c r="U24" i="7"/>
  <c r="G10" i="7"/>
  <c r="H10" i="7" s="1"/>
  <c r="U26" i="7"/>
  <c r="G14" i="7"/>
  <c r="H14" i="7" s="1"/>
  <c r="G6" i="7"/>
  <c r="H6" i="7" s="1"/>
  <c r="G5" i="7"/>
  <c r="H5" i="7" s="1"/>
  <c r="U21" i="7" l="1"/>
  <c r="B48" i="1"/>
  <c r="W22" i="7"/>
  <c r="L19" i="7"/>
  <c r="L24" i="7"/>
  <c r="L20" i="7"/>
  <c r="L23" i="7"/>
  <c r="L27" i="7"/>
  <c r="L21" i="7"/>
  <c r="M17" i="1"/>
  <c r="M16" i="1"/>
  <c r="M29" i="1"/>
  <c r="M28" i="1"/>
  <c r="M27" i="1"/>
  <c r="M39" i="1"/>
  <c r="M38" i="1"/>
  <c r="M35" i="1"/>
  <c r="M34" i="1"/>
  <c r="M33" i="1"/>
  <c r="M32" i="1"/>
  <c r="M31" i="1"/>
  <c r="M30" i="1"/>
  <c r="M26" i="1"/>
  <c r="M25" i="1"/>
  <c r="M24" i="1"/>
  <c r="M23" i="1"/>
  <c r="M22" i="1"/>
  <c r="M21" i="1"/>
  <c r="M20" i="1"/>
  <c r="M19" i="1"/>
  <c r="M18" i="1"/>
  <c r="M15" i="1"/>
  <c r="M14" i="1"/>
  <c r="M13" i="1"/>
  <c r="M12" i="1"/>
  <c r="M11" i="1"/>
  <c r="M10" i="1"/>
  <c r="M9" i="1"/>
  <c r="M8" i="1"/>
  <c r="M7" i="1"/>
  <c r="M5" i="1"/>
  <c r="G17" i="4"/>
  <c r="G16" i="4"/>
  <c r="H16" i="4" s="1"/>
  <c r="G15" i="4"/>
  <c r="H15" i="4" s="1"/>
  <c r="G14" i="4"/>
  <c r="H14" i="4" s="1"/>
  <c r="G13" i="4"/>
  <c r="H13" i="4" s="1"/>
  <c r="G12" i="4"/>
  <c r="H12" i="4" s="1"/>
  <c r="G11" i="4"/>
  <c r="H11" i="4" s="1"/>
  <c r="G10" i="4"/>
  <c r="H10" i="4" s="1"/>
  <c r="G9" i="4"/>
  <c r="H9" i="4" s="1"/>
  <c r="G8" i="4"/>
  <c r="H8" i="4" s="1"/>
  <c r="G7" i="4"/>
  <c r="H7" i="4" s="1"/>
  <c r="G6" i="4"/>
  <c r="H6" i="4" s="1"/>
  <c r="G5" i="4"/>
  <c r="H5" i="4" s="1"/>
  <c r="D38" i="1"/>
  <c r="G9" i="3"/>
  <c r="G10" i="3"/>
  <c r="G8" i="3"/>
  <c r="G7" i="3"/>
  <c r="G6" i="3"/>
  <c r="G5" i="3"/>
  <c r="H16" i="2"/>
  <c r="H12" i="2"/>
  <c r="G7" i="2"/>
  <c r="H7" i="2" s="1"/>
  <c r="G6" i="2"/>
  <c r="H6" i="2" s="1"/>
  <c r="G5" i="2"/>
  <c r="H5" i="2" s="1"/>
  <c r="C10" i="5"/>
  <c r="F18" i="3"/>
  <c r="H18" i="3" s="1"/>
  <c r="F17" i="3"/>
  <c r="F16" i="3"/>
  <c r="F9" i="3"/>
  <c r="F10" i="3"/>
  <c r="F8" i="3"/>
  <c r="F7" i="3"/>
  <c r="F6" i="3"/>
  <c r="F5" i="3"/>
  <c r="W35" i="1"/>
  <c r="V35" i="1"/>
  <c r="S35" i="1"/>
  <c r="Q35" i="1"/>
  <c r="W33" i="1"/>
  <c r="V33" i="1"/>
  <c r="S32" i="1"/>
  <c r="Q32" i="1"/>
  <c r="V31" i="1"/>
  <c r="S31" i="1"/>
  <c r="Q31" i="1"/>
  <c r="X30" i="1"/>
  <c r="W30" i="1"/>
  <c r="V30" i="1"/>
  <c r="S30" i="1"/>
  <c r="Q30" i="1"/>
  <c r="W26" i="1"/>
  <c r="V26" i="1"/>
  <c r="S26" i="1"/>
  <c r="Q26" i="1"/>
  <c r="W25" i="1"/>
  <c r="V25" i="1"/>
  <c r="S25" i="1"/>
  <c r="Q25" i="1"/>
  <c r="V24" i="1"/>
  <c r="T24" i="1"/>
  <c r="S24" i="1"/>
  <c r="Q24" i="1"/>
  <c r="W23" i="1"/>
  <c r="V23" i="1"/>
  <c r="S23" i="1"/>
  <c r="Q23" i="1"/>
  <c r="S21" i="1"/>
  <c r="Q21" i="1"/>
  <c r="S20" i="1"/>
  <c r="Q20" i="1"/>
  <c r="S19" i="1"/>
  <c r="Q19" i="1"/>
  <c r="X18" i="1"/>
  <c r="W18" i="1"/>
  <c r="V18" i="1"/>
  <c r="S18" i="1"/>
  <c r="Q18" i="1"/>
  <c r="T16" i="1"/>
  <c r="S16" i="1"/>
  <c r="Q16" i="1"/>
  <c r="T15" i="1"/>
  <c r="S15" i="1"/>
  <c r="Q15" i="1"/>
  <c r="W13" i="1"/>
  <c r="V13" i="1"/>
  <c r="S13" i="1"/>
  <c r="Q13" i="1"/>
  <c r="W12" i="1"/>
  <c r="V12" i="1"/>
  <c r="T12" i="1"/>
  <c r="S12" i="1"/>
  <c r="Q12" i="1"/>
  <c r="W11" i="1"/>
  <c r="V11" i="1"/>
  <c r="T11" i="1"/>
  <c r="S11" i="1"/>
  <c r="Q11" i="1"/>
  <c r="W10" i="1"/>
  <c r="V10" i="1"/>
  <c r="S10" i="1"/>
  <c r="Q10" i="1"/>
  <c r="S9" i="1"/>
  <c r="Q9" i="1"/>
  <c r="W8" i="1"/>
  <c r="V8" i="1"/>
  <c r="T8" i="1"/>
  <c r="S8" i="1"/>
  <c r="Q8" i="1"/>
  <c r="W7" i="1"/>
  <c r="V7" i="1"/>
  <c r="T6" i="1"/>
  <c r="S6" i="1"/>
  <c r="Q6" i="1"/>
  <c r="W5" i="1"/>
  <c r="V5" i="1"/>
  <c r="T5" i="1"/>
  <c r="S5" i="1"/>
  <c r="Q5" i="1"/>
  <c r="D48" i="1" l="1"/>
  <c r="D56" i="1" s="1"/>
  <c r="F49" i="1" s="1"/>
  <c r="E48" i="1"/>
  <c r="G9" i="7"/>
  <c r="H9" i="7" s="1"/>
  <c r="B63" i="1"/>
  <c r="G11" i="3"/>
  <c r="H7" i="3"/>
  <c r="H6" i="3"/>
  <c r="H9" i="3"/>
  <c r="H8" i="3"/>
  <c r="H14" i="2"/>
  <c r="H5" i="3"/>
  <c r="H10" i="3"/>
  <c r="H16" i="3"/>
  <c r="F52" i="1" l="1"/>
  <c r="G26" i="7" s="1"/>
  <c r="F51" i="1"/>
  <c r="F54" i="1"/>
  <c r="G17" i="3" s="1"/>
  <c r="H17" i="3" s="1"/>
  <c r="G22" i="7"/>
  <c r="G13" i="2"/>
  <c r="H13" i="2" s="1"/>
  <c r="G17" i="2"/>
  <c r="G15" i="2"/>
  <c r="H15" i="2" s="1"/>
  <c r="G25" i="7"/>
  <c r="D63" i="1"/>
  <c r="E63" i="1"/>
  <c r="L26" i="7" l="1"/>
  <c r="R26" i="7"/>
  <c r="H26" i="7"/>
  <c r="R25" i="7"/>
  <c r="H25" i="7"/>
  <c r="L25" i="7"/>
  <c r="H22" i="7"/>
  <c r="L22" i="7"/>
  <c r="R22" i="7"/>
</calcChain>
</file>

<file path=xl/comments1.xml><?xml version="1.0" encoding="utf-8"?>
<comments xmlns="http://schemas.openxmlformats.org/spreadsheetml/2006/main">
  <authors>
    <author>casa</author>
  </authors>
  <commentList>
    <comment ref="B47" authorId="0" shapeId="0">
      <text>
        <r>
          <rPr>
            <b/>
            <sz val="9"/>
            <color indexed="81"/>
            <rFont val="Tahoma"/>
            <charset val="1"/>
          </rPr>
          <t>casa:</t>
        </r>
        <r>
          <rPr>
            <sz val="9"/>
            <color indexed="81"/>
            <rFont val="Tahoma"/>
            <charset val="1"/>
          </rPr>
          <t xml:space="preserve">
Idem a J24</t>
        </r>
      </text>
    </comment>
  </commentList>
</comments>
</file>

<file path=xl/sharedStrings.xml><?xml version="1.0" encoding="utf-8"?>
<sst xmlns="http://schemas.openxmlformats.org/spreadsheetml/2006/main" count="476" uniqueCount="169">
  <si>
    <t>Rating</t>
  </si>
  <si>
    <t>D-PN</t>
  </si>
  <si>
    <t>0-1</t>
  </si>
  <si>
    <t>2-3</t>
  </si>
  <si>
    <t>5-9</t>
  </si>
  <si>
    <t>Alejandro Olivos</t>
  </si>
  <si>
    <t>Regatas 2018</t>
  </si>
  <si>
    <t>Nudos</t>
  </si>
  <si>
    <t>0-3</t>
  </si>
  <si>
    <t>4-10</t>
  </si>
  <si>
    <t>11-16</t>
  </si>
  <si>
    <t>17-47</t>
  </si>
  <si>
    <t>Regatas 2015</t>
  </si>
  <si>
    <t>Rapel</t>
  </si>
  <si>
    <t xml:space="preserve">VELERO </t>
  </si>
  <si>
    <t>CAPITAN</t>
  </si>
  <si>
    <t>NOMBRE</t>
  </si>
  <si>
    <t>S/Spi</t>
  </si>
  <si>
    <t>BORA BORA 23</t>
  </si>
  <si>
    <t>BERNARDO PALACIOS</t>
  </si>
  <si>
    <t>SECRETO</t>
  </si>
  <si>
    <t>Catalina 22 (FK, No Spi)</t>
  </si>
  <si>
    <t>CATALINA 22</t>
  </si>
  <si>
    <t>CATA 12</t>
  </si>
  <si>
    <t>J. O´BRIAN</t>
  </si>
  <si>
    <t>Hobie 14</t>
  </si>
  <si>
    <t>NA</t>
  </si>
  <si>
    <t>CATALINA 28</t>
  </si>
  <si>
    <t>ANDRES POLLANIS</t>
  </si>
  <si>
    <t>MAITAKI</t>
  </si>
  <si>
    <t>FOX</t>
  </si>
  <si>
    <t>HOBIE 16</t>
  </si>
  <si>
    <t>NICO MANZUR</t>
  </si>
  <si>
    <t>Hobie Getaway</t>
  </si>
  <si>
    <t>HUNTER 31</t>
  </si>
  <si>
    <t>MARIO BAEZA</t>
  </si>
  <si>
    <t>MYSTIC</t>
  </si>
  <si>
    <t>Hunter 31 (Shoal Draft)</t>
  </si>
  <si>
    <t>J24</t>
  </si>
  <si>
    <t>LASER</t>
  </si>
  <si>
    <t>MACH 1</t>
  </si>
  <si>
    <t>SIMON PONCE</t>
  </si>
  <si>
    <t>Beatriz</t>
  </si>
  <si>
    <t>Microtoner Standard</t>
  </si>
  <si>
    <t>Robert-Leo</t>
  </si>
  <si>
    <t>Microtoner Racer</t>
  </si>
  <si>
    <t>Trajin</t>
  </si>
  <si>
    <t>NACRA F18</t>
  </si>
  <si>
    <t>Formula 18 spi</t>
  </si>
  <si>
    <t>NAUTISAIL 13</t>
  </si>
  <si>
    <t>MANUEL VALLESPIN</t>
  </si>
  <si>
    <t>FLIPPER</t>
  </si>
  <si>
    <t>NAUTISAIL 15</t>
  </si>
  <si>
    <t>MARIO SOLARI</t>
  </si>
  <si>
    <t>OPEN BIC</t>
  </si>
  <si>
    <t>OPTIMIST</t>
  </si>
  <si>
    <t>ORCA</t>
  </si>
  <si>
    <t>PABLO ROBLES</t>
  </si>
  <si>
    <t>PIRATA</t>
  </si>
  <si>
    <t>POLARIS 33</t>
  </si>
  <si>
    <t>MASSIMO FRASCAROLI</t>
  </si>
  <si>
    <t>BLIZZARD</t>
  </si>
  <si>
    <t>BENETEAU 33</t>
  </si>
  <si>
    <t>SNIPE</t>
  </si>
  <si>
    <t>SUNFISH</t>
  </si>
  <si>
    <t>Windsurf = &lt; 6m2</t>
  </si>
  <si>
    <t>Div II   (SA = &lt; 6m2)</t>
  </si>
  <si>
    <t>Windsurf 6-7m2</t>
  </si>
  <si>
    <t>Div IIB (SA = 6-7m2)</t>
  </si>
  <si>
    <t>Windsurf = &gt; 7m2</t>
  </si>
  <si>
    <t>Div IIC (SA = &gt; 7m2)</t>
  </si>
  <si>
    <t>Prindle 16</t>
  </si>
  <si>
    <t>49er</t>
  </si>
  <si>
    <t>Vagabundo</t>
  </si>
  <si>
    <t>Vagabond 17 (and HLR17)</t>
  </si>
  <si>
    <t>Sigma 41</t>
  </si>
  <si>
    <t>MAINA</t>
  </si>
  <si>
    <t>Fibertex</t>
  </si>
  <si>
    <t>A. Rios</t>
  </si>
  <si>
    <t>LASER RADIAL</t>
  </si>
  <si>
    <t>AERO</t>
  </si>
  <si>
    <t>ver hoja Aero</t>
  </si>
  <si>
    <t>Nico Manzur</t>
  </si>
  <si>
    <t>Carpe Diem</t>
  </si>
  <si>
    <t>REGATA</t>
  </si>
  <si>
    <t>HORA INICIO</t>
  </si>
  <si>
    <t>HORA LLEGADA</t>
  </si>
  <si>
    <t>TIEMPO REAL</t>
  </si>
  <si>
    <t>TIEMPO CORREGIDO</t>
  </si>
  <si>
    <t>LUGAR</t>
  </si>
  <si>
    <t>Pipe-Max</t>
  </si>
  <si>
    <t>Juan Gana</t>
  </si>
  <si>
    <t>Juan Eduardo Silva</t>
  </si>
  <si>
    <t>La Rucia</t>
  </si>
  <si>
    <t>Maina</t>
  </si>
  <si>
    <t>Massimo Frascaroli</t>
  </si>
  <si>
    <t>Blizzard</t>
  </si>
  <si>
    <t>Pablo Robles</t>
  </si>
  <si>
    <t>Orca IV</t>
  </si>
  <si>
    <t>Hunter 31</t>
  </si>
  <si>
    <t>Mario Baeza</t>
  </si>
  <si>
    <t>Mystic</t>
  </si>
  <si>
    <t>Laser</t>
  </si>
  <si>
    <t>Mundi-Sofi</t>
  </si>
  <si>
    <t>Snipe</t>
  </si>
  <si>
    <t>Enrique Bruñol</t>
  </si>
  <si>
    <t>Claudio Blumenberg</t>
  </si>
  <si>
    <t>Nico Pendola</t>
  </si>
  <si>
    <t>Aero</t>
  </si>
  <si>
    <t>Max Meza</t>
  </si>
  <si>
    <t>DNF</t>
  </si>
  <si>
    <t>Tito Rivera</t>
  </si>
  <si>
    <t>Laser Radial</t>
  </si>
  <si>
    <t>Hugo Castro</t>
  </si>
  <si>
    <t>Luis Fuentes</t>
  </si>
  <si>
    <t>Max Rivera</t>
  </si>
  <si>
    <t>Andrés Lamarca</t>
  </si>
  <si>
    <t>Cobra</t>
  </si>
  <si>
    <t>Orca</t>
  </si>
  <si>
    <t>Nico García</t>
  </si>
  <si>
    <t>Toti Castro</t>
  </si>
  <si>
    <t>Pirata</t>
  </si>
  <si>
    <t>Raimundo Rivera</t>
  </si>
  <si>
    <t>Aleria II</t>
  </si>
  <si>
    <t>I researched Aero ratings along with John D in April for the Melbourne YC Spring Regatta (Florida). I was at first a little skeptical of the Texas numbers of 87.5 for the nine and 90.3 for the seven after we compared the RYA numbers.  We finally decided that the numbers should really be more like 88 and 90, but that we would use the Texas numbers.  My belief is that the RYA numbers reflect that there is generally more wind in the UK.  The Aero's have the chine which gives them more wetted surface, but more stability and better planing ability in the higher winds. Lasers have less wetted surface and are probably faster in light winds. That makes a direct comparison of RYA to USA  Portsmouth numbers invalid.</t>
  </si>
  <si>
    <t>At the end of the day, it is really difficult to base valid conclusions on limited observation because it is hard to separate sailor skill from boat performance in a small sample. As it turned out, the Aero's came up with enough boats to sail one design so we did not get good times between them and other boats.</t>
  </si>
  <si>
    <t>Malbec 240</t>
  </si>
  <si>
    <t>Microtoner</t>
  </si>
  <si>
    <t>Tita Pendola</t>
  </si>
  <si>
    <t>Microtoner (Brazil)</t>
  </si>
  <si>
    <t>Regatas 2017</t>
  </si>
  <si>
    <t>Fibertex de A.Rios</t>
  </si>
  <si>
    <t>Nacra F18</t>
  </si>
  <si>
    <t>Berni-Tito</t>
  </si>
  <si>
    <t>Max-Pipe-Colomba</t>
  </si>
  <si>
    <t>Raimundo-Sofi</t>
  </si>
  <si>
    <t>Jose-Caty</t>
  </si>
  <si>
    <t>Juan Eduardo Silva-Santi</t>
  </si>
  <si>
    <t>Open Bic</t>
  </si>
  <si>
    <t>Monotipos</t>
  </si>
  <si>
    <t>Yates</t>
  </si>
  <si>
    <t>Nico Manzur y Flia</t>
  </si>
  <si>
    <t>Andres Polloni</t>
  </si>
  <si>
    <t>Maitaki</t>
  </si>
  <si>
    <t>Murphy IV</t>
  </si>
  <si>
    <t>US Sailing</t>
  </si>
  <si>
    <t>RYA</t>
  </si>
  <si>
    <t>Tripulantes</t>
  </si>
  <si>
    <t>Hunter 30</t>
  </si>
  <si>
    <t>Dif</t>
  </si>
  <si>
    <t>RATING US Sailing</t>
  </si>
  <si>
    <t>RATING RYA</t>
  </si>
  <si>
    <t>Factor Para pasar de GPH a Portsmouth</t>
  </si>
  <si>
    <t>gph</t>
  </si>
  <si>
    <t>Nom</t>
  </si>
  <si>
    <t>Idem a J24</t>
  </si>
  <si>
    <t>RYA Final 2018</t>
  </si>
  <si>
    <t>Promedio</t>
  </si>
  <si>
    <t>RS AERO 5</t>
  </si>
  <si>
    <t>Optimist</t>
  </si>
  <si>
    <t>SCHRS</t>
  </si>
  <si>
    <t>29er</t>
  </si>
  <si>
    <t>Lightning</t>
  </si>
  <si>
    <t>Laser II</t>
  </si>
  <si>
    <t>Dart 18</t>
  </si>
  <si>
    <t>Huiro</t>
  </si>
  <si>
    <t>Bora Bora 315</t>
  </si>
  <si>
    <t>Simon Ponce</t>
  </si>
  <si>
    <t>Catalina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</si>
</sst>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0.0"/>
    <numFmt numFmtId="166" formatCode="0.0"/>
    <numFmt numFmtId="167" formatCode="0.0%"/>
    <numFmt numFmtId="168" formatCode="hh:mm:ss;@"/>
    <numFmt numFmtId="169" formatCode="h:mm:ss;@"/>
    <numFmt numFmtId="170" formatCode="_-* #,##0.0000000_-;\-* #,##0.0000000_-;_-* &quot;-&quot;??_-;_-@_-"/>
    <numFmt numFmtId="171" formatCode="_-* #,##0.0_-;\-* #,##0.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12"/>
      <color theme="1"/>
      <name val="Calibri"/>
      <family val="2"/>
      <scheme val="minor"/>
    </font>
    <font>
      <b/>
      <sz val="10"/>
      <color indexed="8"/>
      <name val="Calibri"/>
      <family val="2"/>
      <scheme val="minor"/>
    </font>
    <font>
      <sz val="10"/>
      <name val="Calibri"/>
      <family val="2"/>
      <scheme val="minor"/>
    </font>
    <font>
      <b/>
      <sz val="10"/>
      <name val="Calibri"/>
      <family val="2"/>
      <scheme val="minor"/>
    </font>
    <font>
      <sz val="10"/>
      <color theme="1"/>
      <name val="Calibri"/>
      <family val="2"/>
      <scheme val="minor"/>
    </font>
    <font>
      <b/>
      <sz val="16"/>
      <color theme="1"/>
      <name val="Calibri"/>
      <family val="2"/>
      <scheme val="minor"/>
    </font>
    <font>
      <sz val="11"/>
      <name val="Calibri"/>
      <family val="2"/>
      <scheme val="minor"/>
    </font>
    <font>
      <b/>
      <sz val="10"/>
      <name val="Arial"/>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49"/>
        <bgColor indexed="64"/>
      </patternFill>
    </fill>
    <fill>
      <patternFill patternType="solid">
        <fgColor rgb="FFFFC000"/>
        <bgColor indexed="64"/>
      </patternFill>
    </fill>
  </fills>
  <borders count="9">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xf numFmtId="0" fontId="3" fillId="0" borderId="0" xfId="0" applyFont="1" applyAlignment="1">
      <alignment horizontal="center"/>
    </xf>
    <xf numFmtId="0" fontId="2" fillId="0" borderId="0" xfId="0" applyFont="1"/>
    <xf numFmtId="0" fontId="0" fillId="0" borderId="0" xfId="0" applyFont="1" applyAlignment="1">
      <alignment horizontal="center"/>
    </xf>
    <xf numFmtId="0" fontId="4" fillId="0" borderId="1" xfId="0" applyFont="1" applyBorder="1" applyAlignment="1">
      <alignment horizontal="center"/>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0" fontId="0" fillId="0" borderId="0" xfId="0" applyFont="1" applyFill="1"/>
    <xf numFmtId="0" fontId="2" fillId="0" borderId="0" xfId="0" applyFont="1" applyAlignment="1">
      <alignment horizontal="center"/>
    </xf>
    <xf numFmtId="0" fontId="4" fillId="0" borderId="2" xfId="0" applyFont="1" applyBorder="1" applyAlignment="1">
      <alignment horizontal="center"/>
    </xf>
    <xf numFmtId="0" fontId="5" fillId="0" borderId="1" xfId="0" applyFont="1" applyFill="1" applyBorder="1" applyAlignment="1">
      <alignment horizontal="center" wrapText="1"/>
    </xf>
    <xf numFmtId="0" fontId="0" fillId="0" borderId="0" xfId="0" applyFont="1" applyBorder="1"/>
    <xf numFmtId="0" fontId="0" fillId="0" borderId="3" xfId="0" applyFont="1" applyBorder="1"/>
    <xf numFmtId="0" fontId="3" fillId="0" borderId="3" xfId="0" applyFont="1" applyBorder="1"/>
    <xf numFmtId="0" fontId="3" fillId="0" borderId="4" xfId="0" applyFont="1" applyBorder="1" applyAlignment="1">
      <alignment horizontal="center"/>
    </xf>
    <xf numFmtId="165" fontId="2" fillId="0" borderId="5" xfId="0" applyNumberFormat="1" applyFont="1" applyBorder="1" applyAlignment="1">
      <alignment horizontal="center"/>
    </xf>
    <xf numFmtId="165" fontId="0" fillId="0" borderId="3" xfId="0" applyNumberFormat="1" applyFont="1" applyBorder="1" applyAlignment="1">
      <alignment horizontal="center"/>
    </xf>
    <xf numFmtId="166" fontId="0" fillId="0" borderId="3" xfId="0" applyNumberFormat="1" applyFont="1" applyBorder="1" applyAlignment="1">
      <alignment horizontal="center"/>
    </xf>
    <xf numFmtId="167" fontId="0" fillId="0" borderId="0" xfId="2" applyNumberFormat="1" applyFont="1"/>
    <xf numFmtId="165" fontId="2" fillId="0" borderId="2" xfId="0" applyNumberFormat="1" applyFont="1" applyBorder="1" applyAlignment="1">
      <alignment horizontal="center"/>
    </xf>
    <xf numFmtId="165" fontId="0" fillId="0" borderId="0" xfId="0" applyNumberFormat="1" applyFont="1" applyAlignment="1">
      <alignment horizontal="center"/>
    </xf>
    <xf numFmtId="166" fontId="0" fillId="0" borderId="0" xfId="0" applyNumberFormat="1" applyFont="1" applyBorder="1" applyAlignment="1">
      <alignment horizontal="center"/>
    </xf>
    <xf numFmtId="0" fontId="0" fillId="2" borderId="3" xfId="0" applyFont="1" applyFill="1" applyBorder="1"/>
    <xf numFmtId="0" fontId="3" fillId="2" borderId="3" xfId="0" applyFont="1" applyFill="1" applyBorder="1"/>
    <xf numFmtId="0" fontId="3" fillId="2" borderId="4" xfId="0" applyFont="1" applyFill="1" applyBorder="1" applyAlignment="1">
      <alignment horizontal="center"/>
    </xf>
    <xf numFmtId="165" fontId="2" fillId="2" borderId="5" xfId="0" applyNumberFormat="1" applyFont="1" applyFill="1" applyBorder="1" applyAlignment="1">
      <alignment horizontal="center"/>
    </xf>
    <xf numFmtId="167" fontId="0" fillId="0" borderId="0" xfId="2" applyNumberFormat="1" applyFont="1" applyBorder="1" applyAlignment="1">
      <alignment horizontal="center"/>
    </xf>
    <xf numFmtId="165" fontId="0" fillId="0" borderId="3" xfId="0" applyNumberFormat="1" applyFont="1" applyFill="1" applyBorder="1" applyAlignment="1">
      <alignment horizontal="center"/>
    </xf>
    <xf numFmtId="167" fontId="0" fillId="0" borderId="0" xfId="2" applyNumberFormat="1" applyFont="1" applyFill="1" applyBorder="1" applyAlignment="1">
      <alignment horizontal="center"/>
    </xf>
    <xf numFmtId="166" fontId="0" fillId="0" borderId="3" xfId="0" applyNumberFormat="1" applyFont="1" applyFill="1" applyBorder="1" applyAlignment="1">
      <alignment horizontal="center"/>
    </xf>
    <xf numFmtId="165" fontId="0" fillId="0" borderId="0" xfId="0" applyNumberFormat="1" applyFont="1" applyFill="1" applyBorder="1" applyAlignment="1">
      <alignment horizontal="center"/>
    </xf>
    <xf numFmtId="9" fontId="0" fillId="0" borderId="0" xfId="2" applyFont="1" applyFill="1" applyBorder="1" applyAlignment="1">
      <alignment horizontal="center"/>
    </xf>
    <xf numFmtId="0" fontId="0" fillId="0" borderId="0" xfId="0" applyFont="1" applyFill="1" applyBorder="1"/>
    <xf numFmtId="166" fontId="0" fillId="0" borderId="0" xfId="0" applyNumberFormat="1" applyFont="1" applyFill="1" applyBorder="1" applyAlignment="1">
      <alignment horizontal="center"/>
    </xf>
    <xf numFmtId="0" fontId="0" fillId="0" borderId="3" xfId="0" applyFont="1" applyFill="1" applyBorder="1"/>
    <xf numFmtId="0" fontId="3" fillId="0" borderId="3" xfId="0" applyFont="1" applyFill="1" applyBorder="1"/>
    <xf numFmtId="0" fontId="3" fillId="0" borderId="4" xfId="0" applyFont="1" applyFill="1" applyBorder="1" applyAlignment="1">
      <alignment horizontal="center"/>
    </xf>
    <xf numFmtId="165" fontId="2" fillId="0" borderId="5" xfId="0" applyNumberFormat="1" applyFont="1" applyFill="1" applyBorder="1" applyAlignment="1">
      <alignment horizontal="center"/>
    </xf>
    <xf numFmtId="0" fontId="6" fillId="3" borderId="3" xfId="0" applyFont="1" applyFill="1" applyBorder="1" applyAlignment="1">
      <alignment wrapText="1"/>
    </xf>
    <xf numFmtId="0" fontId="0" fillId="0" borderId="4" xfId="0" applyFont="1" applyBorder="1" applyAlignment="1">
      <alignment horizontal="center"/>
    </xf>
    <xf numFmtId="0" fontId="7" fillId="3" borderId="5" xfId="0" applyFont="1" applyFill="1" applyBorder="1" applyAlignment="1">
      <alignment horizontal="center" wrapText="1"/>
    </xf>
    <xf numFmtId="0" fontId="0" fillId="0" borderId="6" xfId="0" applyFont="1" applyFill="1" applyBorder="1"/>
    <xf numFmtId="0" fontId="8" fillId="0" borderId="3" xfId="0" applyFont="1" applyBorder="1"/>
    <xf numFmtId="0" fontId="3" fillId="0" borderId="0" xfId="0" applyFont="1" applyBorder="1" applyAlignment="1">
      <alignment horizontal="center"/>
    </xf>
    <xf numFmtId="165" fontId="0" fillId="0" borderId="0" xfId="0" applyNumberFormat="1" applyFont="1" applyBorder="1" applyAlignment="1">
      <alignment horizontal="center"/>
    </xf>
    <xf numFmtId="0" fontId="2" fillId="0" borderId="5" xfId="0" applyFont="1" applyBorder="1" applyAlignment="1">
      <alignment horizontal="center"/>
    </xf>
    <xf numFmtId="0" fontId="0" fillId="0" borderId="3" xfId="0" applyFont="1" applyBorder="1" applyAlignment="1">
      <alignment horizontal="center"/>
    </xf>
    <xf numFmtId="165" fontId="2" fillId="2" borderId="7" xfId="0" applyNumberFormat="1" applyFont="1" applyFill="1" applyBorder="1" applyAlignment="1">
      <alignment horizontal="center"/>
    </xf>
    <xf numFmtId="165" fontId="2" fillId="0" borderId="8" xfId="0" applyNumberFormat="1" applyFont="1" applyBorder="1" applyAlignment="1">
      <alignment horizontal="center"/>
    </xf>
    <xf numFmtId="165" fontId="2" fillId="0" borderId="3" xfId="0" applyNumberFormat="1" applyFont="1" applyBorder="1" applyAlignment="1">
      <alignment horizontal="center"/>
    </xf>
    <xf numFmtId="0" fontId="9" fillId="0" borderId="0" xfId="0" applyFont="1"/>
    <xf numFmtId="14" fontId="9" fillId="0" borderId="0" xfId="0" applyNumberFormat="1" applyFont="1" applyAlignment="1">
      <alignment horizontal="center"/>
    </xf>
    <xf numFmtId="168" fontId="0" fillId="0" borderId="0" xfId="0" applyNumberFormat="1"/>
    <xf numFmtId="0" fontId="0" fillId="0" borderId="0" xfId="0" applyAlignment="1">
      <alignment horizontal="center"/>
    </xf>
    <xf numFmtId="0" fontId="2" fillId="0" borderId="3" xfId="0" applyFont="1" applyBorder="1"/>
    <xf numFmtId="0" fontId="2" fillId="0" borderId="3" xfId="0" applyFont="1" applyBorder="1" applyAlignment="1">
      <alignment horizontal="center"/>
    </xf>
    <xf numFmtId="168" fontId="2" fillId="0" borderId="3" xfId="0" applyNumberFormat="1" applyFont="1" applyBorder="1" applyAlignment="1">
      <alignment horizontal="center"/>
    </xf>
    <xf numFmtId="0" fontId="2" fillId="0" borderId="3" xfId="0" applyFont="1" applyFill="1" applyBorder="1" applyAlignment="1">
      <alignment horizontal="center"/>
    </xf>
    <xf numFmtId="0" fontId="0" fillId="0" borderId="3" xfId="0" applyFill="1" applyBorder="1"/>
    <xf numFmtId="0" fontId="0" fillId="0" borderId="3" xfId="0" applyBorder="1"/>
    <xf numFmtId="169" fontId="10" fillId="0" borderId="3" xfId="0" applyNumberFormat="1" applyFont="1" applyBorder="1" applyAlignment="1">
      <alignment horizontal="center"/>
    </xf>
    <xf numFmtId="165" fontId="0" fillId="0" borderId="3" xfId="0" applyNumberFormat="1" applyBorder="1" applyAlignment="1">
      <alignment horizontal="center"/>
    </xf>
    <xf numFmtId="168" fontId="0" fillId="0" borderId="3" xfId="0" applyNumberFormat="1" applyBorder="1" applyAlignment="1">
      <alignment horizontal="center"/>
    </xf>
    <xf numFmtId="0" fontId="0" fillId="0" borderId="3" xfId="0" applyBorder="1" applyAlignment="1">
      <alignment horizontal="center"/>
    </xf>
    <xf numFmtId="170" fontId="0" fillId="0" borderId="0" xfId="1" applyNumberFormat="1" applyFont="1" applyAlignment="1">
      <alignment horizontal="center"/>
    </xf>
    <xf numFmtId="0" fontId="0" fillId="0" borderId="0" xfId="0" applyBorder="1"/>
    <xf numFmtId="169" fontId="10" fillId="0" borderId="0" xfId="0" applyNumberFormat="1" applyFont="1" applyBorder="1" applyAlignment="1">
      <alignment horizontal="center"/>
    </xf>
    <xf numFmtId="0" fontId="0" fillId="0" borderId="0" xfId="0" applyAlignment="1">
      <alignment wrapText="1"/>
    </xf>
    <xf numFmtId="166" fontId="0" fillId="0" borderId="0" xfId="0" applyNumberFormat="1" applyAlignment="1">
      <alignment vertical="center"/>
    </xf>
    <xf numFmtId="166" fontId="0" fillId="0" borderId="0" xfId="0" applyNumberFormat="1"/>
    <xf numFmtId="166" fontId="2" fillId="0" borderId="0" xfId="0" applyNumberFormat="1" applyFont="1"/>
    <xf numFmtId="0" fontId="3" fillId="0" borderId="0" xfId="0" applyFont="1" applyBorder="1"/>
    <xf numFmtId="0" fontId="0" fillId="0" borderId="0" xfId="0" applyFont="1" applyBorder="1" applyAlignment="1">
      <alignment horizontal="center"/>
    </xf>
    <xf numFmtId="0" fontId="2" fillId="0" borderId="0" xfId="0" applyFont="1" applyBorder="1"/>
    <xf numFmtId="0" fontId="5" fillId="0" borderId="0" xfId="0" applyFont="1" applyFill="1" applyBorder="1" applyAlignment="1">
      <alignment horizontal="center" wrapText="1"/>
    </xf>
    <xf numFmtId="49" fontId="5" fillId="0" borderId="0" xfId="0" applyNumberFormat="1" applyFont="1" applyFill="1" applyBorder="1" applyAlignment="1">
      <alignment horizontal="center" wrapText="1"/>
    </xf>
    <xf numFmtId="0" fontId="2" fillId="0" borderId="0" xfId="0" applyFont="1" applyBorder="1" applyAlignment="1">
      <alignment horizontal="center"/>
    </xf>
    <xf numFmtId="0" fontId="2" fillId="0" borderId="0" xfId="0" applyFont="1" applyAlignment="1">
      <alignment horizontal="left"/>
    </xf>
    <xf numFmtId="169" fontId="10" fillId="2" borderId="3" xfId="0" applyNumberFormat="1" applyFont="1" applyFill="1" applyBorder="1" applyAlignment="1">
      <alignment horizontal="center"/>
    </xf>
    <xf numFmtId="165" fontId="0" fillId="0" borderId="0" xfId="0" applyNumberFormat="1"/>
    <xf numFmtId="165" fontId="0" fillId="2" borderId="3" xfId="0" applyNumberFormat="1" applyFill="1" applyBorder="1" applyAlignment="1">
      <alignment horizontal="center"/>
    </xf>
    <xf numFmtId="0" fontId="11" fillId="0" borderId="0" xfId="0" applyFont="1"/>
    <xf numFmtId="0" fontId="11" fillId="4" borderId="0" xfId="0" applyFont="1" applyFill="1"/>
    <xf numFmtId="171" fontId="0" fillId="0" borderId="0" xfId="1" applyNumberFormat="1" applyFont="1"/>
    <xf numFmtId="165" fontId="0" fillId="0" borderId="0" xfId="0" applyNumberFormat="1" applyAlignment="1">
      <alignment horizontal="center"/>
    </xf>
    <xf numFmtId="0" fontId="0" fillId="0" borderId="0" xfId="0" applyAlignment="1">
      <alignment horizontal="left"/>
    </xf>
    <xf numFmtId="169" fontId="0" fillId="0" borderId="0" xfId="0" applyNumberFormat="1"/>
    <xf numFmtId="0" fontId="0" fillId="2" borderId="0" xfId="0" applyFont="1" applyFill="1" applyAlignment="1">
      <alignment horizontal="center"/>
    </xf>
    <xf numFmtId="166" fontId="0" fillId="0" borderId="0" xfId="0" applyNumberFormat="1" applyFont="1" applyFill="1" applyAlignment="1">
      <alignment horizontal="center"/>
    </xf>
    <xf numFmtId="166" fontId="0" fillId="5" borderId="0" xfId="0" applyNumberFormat="1" applyFont="1" applyFill="1" applyAlignment="1">
      <alignment horizontal="center"/>
    </xf>
    <xf numFmtId="166" fontId="0" fillId="2" borderId="0" xfId="0" applyNumberFormat="1" applyFont="1" applyFill="1" applyAlignment="1">
      <alignment horizontal="center"/>
    </xf>
    <xf numFmtId="166" fontId="0" fillId="0" borderId="0" xfId="0" applyNumberFormat="1" applyFont="1" applyAlignment="1">
      <alignment horizontal="center"/>
    </xf>
    <xf numFmtId="0" fontId="0" fillId="0" borderId="0" xfId="0" applyFont="1" applyAlignment="1">
      <alignment horizontal="left"/>
    </xf>
    <xf numFmtId="9" fontId="0" fillId="0" borderId="0" xfId="2" applyFont="1"/>
    <xf numFmtId="166" fontId="0" fillId="0" borderId="0" xfId="0" applyNumberFormat="1" applyFont="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IPE/Personal%202/Varios/Catamaranes/Pichi%202017/Regatas%202017/Regata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sa/Downloads/Ratin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figueroa/Downloads/Regatas%202018%20v2%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ngs"/>
      <sheetName val="Regata 28-1-17"/>
      <sheetName val="Regata 4-2-17"/>
      <sheetName val="Regata 11-2-17"/>
      <sheetName val="Regata 16-2-17"/>
      <sheetName val="Regata 17-2-17"/>
      <sheetName val="Regata 18-2-17"/>
    </sheetNames>
    <sheetDataSet>
      <sheetData sheetId="0">
        <row r="5">
          <cell r="A5" t="str">
            <v>BORA BORA 23</v>
          </cell>
          <cell r="B5" t="str">
            <v>BERNARDO PALACIOS</v>
          </cell>
          <cell r="C5" t="str">
            <v>SECRETO</v>
          </cell>
          <cell r="D5">
            <v>97.1</v>
          </cell>
        </row>
        <row r="6">
          <cell r="B6">
            <v>0</v>
          </cell>
          <cell r="C6">
            <v>0</v>
          </cell>
          <cell r="D6">
            <v>0</v>
          </cell>
        </row>
        <row r="7">
          <cell r="A7" t="str">
            <v>CATA 12</v>
          </cell>
          <cell r="B7" t="str">
            <v>J. O´BRIAN</v>
          </cell>
          <cell r="C7">
            <v>0</v>
          </cell>
          <cell r="D7">
            <v>88</v>
          </cell>
        </row>
        <row r="8">
          <cell r="A8" t="str">
            <v>CATALINA 28</v>
          </cell>
          <cell r="B8" t="str">
            <v>ANDRES POLLANIS</v>
          </cell>
          <cell r="C8" t="str">
            <v>MAITAKI</v>
          </cell>
          <cell r="D8">
            <v>92.6</v>
          </cell>
        </row>
        <row r="9">
          <cell r="A9" t="str">
            <v>FOX</v>
          </cell>
          <cell r="B9">
            <v>0</v>
          </cell>
          <cell r="C9">
            <v>0</v>
          </cell>
          <cell r="D9">
            <v>110</v>
          </cell>
        </row>
        <row r="10">
          <cell r="A10" t="str">
            <v>HOBIE 16</v>
          </cell>
          <cell r="B10" t="str">
            <v>NICO MANZUR</v>
          </cell>
          <cell r="C10">
            <v>0</v>
          </cell>
          <cell r="D10">
            <v>83.3</v>
          </cell>
        </row>
        <row r="11">
          <cell r="A11" t="str">
            <v>HUNTER 31</v>
          </cell>
          <cell r="B11" t="str">
            <v>MARIO BAEZA</v>
          </cell>
          <cell r="C11">
            <v>0</v>
          </cell>
          <cell r="D11">
            <v>85.2</v>
          </cell>
        </row>
        <row r="12">
          <cell r="A12" t="str">
            <v>J24</v>
          </cell>
          <cell r="B12">
            <v>0</v>
          </cell>
          <cell r="C12">
            <v>0</v>
          </cell>
          <cell r="D12">
            <v>80.8</v>
          </cell>
        </row>
        <row r="13">
          <cell r="A13" t="str">
            <v>LASER</v>
          </cell>
          <cell r="B13">
            <v>0</v>
          </cell>
          <cell r="C13">
            <v>0</v>
          </cell>
          <cell r="D13">
            <v>91.1</v>
          </cell>
        </row>
        <row r="14">
          <cell r="A14" t="str">
            <v>MACH 1</v>
          </cell>
          <cell r="B14" t="str">
            <v>SIMON PONCE</v>
          </cell>
          <cell r="C14">
            <v>0</v>
          </cell>
          <cell r="D14">
            <v>98</v>
          </cell>
        </row>
        <row r="15">
          <cell r="A15" t="str">
            <v>MICROTONER</v>
          </cell>
          <cell r="B15">
            <v>0</v>
          </cell>
          <cell r="C15">
            <v>0</v>
          </cell>
          <cell r="D15">
            <v>103</v>
          </cell>
        </row>
        <row r="16">
          <cell r="A16">
            <v>0</v>
          </cell>
          <cell r="B16">
            <v>0</v>
          </cell>
          <cell r="C16">
            <v>0</v>
          </cell>
          <cell r="D16">
            <v>0</v>
          </cell>
        </row>
        <row r="17">
          <cell r="A17">
            <v>0</v>
          </cell>
          <cell r="B17">
            <v>0</v>
          </cell>
          <cell r="C17">
            <v>0</v>
          </cell>
          <cell r="D17">
            <v>0</v>
          </cell>
        </row>
        <row r="18">
          <cell r="A18" t="str">
            <v>NACRA F18</v>
          </cell>
          <cell r="B18">
            <v>0</v>
          </cell>
          <cell r="C18">
            <v>0</v>
          </cell>
          <cell r="D18">
            <v>62.4</v>
          </cell>
        </row>
        <row r="19">
          <cell r="A19" t="str">
            <v>NAUTISAIL 13</v>
          </cell>
          <cell r="B19" t="str">
            <v>MANUEL VALLESPIN</v>
          </cell>
          <cell r="C19">
            <v>0</v>
          </cell>
          <cell r="D19">
            <v>99.4</v>
          </cell>
        </row>
        <row r="20">
          <cell r="A20" t="str">
            <v>NAUTISAIL 15</v>
          </cell>
          <cell r="B20" t="str">
            <v>MARIO SOLARI</v>
          </cell>
          <cell r="C20">
            <v>0</v>
          </cell>
          <cell r="D20">
            <v>99.4</v>
          </cell>
        </row>
        <row r="21">
          <cell r="A21" t="str">
            <v>OPEN BIC</v>
          </cell>
          <cell r="B21">
            <v>0</v>
          </cell>
          <cell r="C21">
            <v>0</v>
          </cell>
          <cell r="D21">
            <v>108</v>
          </cell>
        </row>
        <row r="22">
          <cell r="A22" t="str">
            <v>ORCA</v>
          </cell>
          <cell r="B22" t="str">
            <v>PABLO ROBLES</v>
          </cell>
          <cell r="C22">
            <v>0</v>
          </cell>
          <cell r="D22">
            <v>118</v>
          </cell>
        </row>
        <row r="23">
          <cell r="A23" t="str">
            <v>PIRATA</v>
          </cell>
          <cell r="B23">
            <v>0</v>
          </cell>
          <cell r="C23">
            <v>0</v>
          </cell>
          <cell r="D23">
            <v>102.9</v>
          </cell>
        </row>
        <row r="24">
          <cell r="A24" t="str">
            <v>POLARIS 33</v>
          </cell>
          <cell r="B24" t="str">
            <v>MASSIMO FRASCAROLI</v>
          </cell>
          <cell r="C24" t="str">
            <v>BLIZZARD</v>
          </cell>
          <cell r="D24">
            <v>79.900000000000006</v>
          </cell>
        </row>
        <row r="25">
          <cell r="A25" t="str">
            <v>SNIPE</v>
          </cell>
          <cell r="B25">
            <v>0</v>
          </cell>
          <cell r="C25">
            <v>0</v>
          </cell>
          <cell r="D25">
            <v>91.9</v>
          </cell>
        </row>
        <row r="26">
          <cell r="A26" t="str">
            <v>SUNFISH</v>
          </cell>
          <cell r="B26">
            <v>0</v>
          </cell>
          <cell r="C26">
            <v>0</v>
          </cell>
          <cell r="D26">
            <v>99.6</v>
          </cell>
        </row>
        <row r="27">
          <cell r="A27" t="str">
            <v>Windsurf</v>
          </cell>
          <cell r="B27" t="str">
            <v>Div IIB (SA = 6-7m2)</v>
          </cell>
          <cell r="C27">
            <v>0</v>
          </cell>
          <cell r="D27">
            <v>89.7</v>
          </cell>
        </row>
        <row r="28">
          <cell r="A28" t="str">
            <v>Prindle 16</v>
          </cell>
          <cell r="B28">
            <v>0</v>
          </cell>
          <cell r="C28">
            <v>0</v>
          </cell>
          <cell r="D28">
            <v>77.5</v>
          </cell>
        </row>
        <row r="29">
          <cell r="A29" t="str">
            <v>49er</v>
          </cell>
          <cell r="B29">
            <v>0</v>
          </cell>
          <cell r="C29">
            <v>0</v>
          </cell>
          <cell r="D29">
            <v>68.2</v>
          </cell>
        </row>
        <row r="30">
          <cell r="A30" t="str">
            <v>Vagabundo</v>
          </cell>
          <cell r="B30">
            <v>0</v>
          </cell>
          <cell r="C30">
            <v>0</v>
          </cell>
          <cell r="D30">
            <v>110</v>
          </cell>
        </row>
        <row r="31">
          <cell r="A31" t="str">
            <v>Sigma 41</v>
          </cell>
          <cell r="B31" t="str">
            <v>TITA</v>
          </cell>
          <cell r="C31" t="str">
            <v>MAINA</v>
          </cell>
          <cell r="D31">
            <v>93.4</v>
          </cell>
        </row>
        <row r="32">
          <cell r="A32" t="str">
            <v>Fibertex</v>
          </cell>
          <cell r="B32" t="str">
            <v>A. Rios</v>
          </cell>
          <cell r="C32">
            <v>0</v>
          </cell>
          <cell r="D32">
            <v>98</v>
          </cell>
        </row>
        <row r="33">
          <cell r="A33" t="str">
            <v>LASER RADIAL</v>
          </cell>
          <cell r="B33">
            <v>0</v>
          </cell>
          <cell r="C33">
            <v>0</v>
          </cell>
          <cell r="D33">
            <v>96.7</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Resumen Regatas 2015"/>
      <sheetName val="7-2-15"/>
      <sheetName val="14-2-15"/>
      <sheetName val="21-2-15 (1ra)"/>
      <sheetName val="21-2-15 (2da)"/>
      <sheetName val="A. Olivos D-PN"/>
    </sheetNames>
    <sheetDataSet>
      <sheetData sheetId="0"/>
      <sheetData sheetId="1"/>
      <sheetData sheetId="2"/>
      <sheetData sheetId="3"/>
      <sheetData sheetId="4"/>
      <sheetData sheetId="5"/>
      <sheetData sheetId="6">
        <row r="4">
          <cell r="B4" t="str">
            <v>Hobie 16 (Chi)</v>
          </cell>
          <cell r="D4">
            <v>77</v>
          </cell>
        </row>
        <row r="8">
          <cell r="B8" t="str">
            <v xml:space="preserve">HobieF18 </v>
          </cell>
          <cell r="D8">
            <v>62.5</v>
          </cell>
        </row>
        <row r="14">
          <cell r="B14" t="str">
            <v>Prindle 16</v>
          </cell>
          <cell r="D14">
            <v>77.5</v>
          </cell>
          <cell r="F14" t="str">
            <v>Beneteau 27.7</v>
          </cell>
          <cell r="H14">
            <v>78</v>
          </cell>
          <cell r="I14">
            <v>79.56</v>
          </cell>
        </row>
        <row r="15">
          <cell r="F15" t="str">
            <v>Bora Bora 26</v>
          </cell>
          <cell r="H15">
            <v>88.1</v>
          </cell>
          <cell r="I15">
            <v>89.861999999999995</v>
          </cell>
        </row>
        <row r="18">
          <cell r="F18" t="str">
            <v>Catalina 22</v>
          </cell>
          <cell r="H18">
            <v>94.7</v>
          </cell>
          <cell r="I18">
            <v>96.594000000000008</v>
          </cell>
        </row>
        <row r="21">
          <cell r="F21" t="str">
            <v>Catalina 27</v>
          </cell>
          <cell r="H21">
            <v>86.4</v>
          </cell>
          <cell r="I21">
            <v>88.128000000000014</v>
          </cell>
        </row>
        <row r="27">
          <cell r="B27" t="str">
            <v>49'er</v>
          </cell>
          <cell r="D27">
            <v>68.8</v>
          </cell>
        </row>
        <row r="30">
          <cell r="F30" t="str">
            <v>Hunter 30</v>
          </cell>
          <cell r="H30">
            <v>90.2</v>
          </cell>
          <cell r="I30">
            <v>92.004000000000005</v>
          </cell>
        </row>
        <row r="32">
          <cell r="B32" t="str">
            <v>Laser</v>
          </cell>
          <cell r="D32">
            <v>91.1</v>
          </cell>
        </row>
        <row r="33">
          <cell r="F33" t="str">
            <v>J24</v>
          </cell>
          <cell r="H33">
            <v>80.8</v>
          </cell>
          <cell r="I33">
            <v>82.415999999999997</v>
          </cell>
        </row>
        <row r="35">
          <cell r="B35" t="str">
            <v>Laser Radial</v>
          </cell>
          <cell r="D35">
            <v>96.7</v>
          </cell>
        </row>
        <row r="39">
          <cell r="B39" t="str">
            <v>Nautisail 18.5</v>
          </cell>
          <cell r="D39">
            <v>89.7</v>
          </cell>
        </row>
        <row r="40">
          <cell r="B40" t="str">
            <v>Open Bic</v>
          </cell>
          <cell r="D40">
            <v>91.1</v>
          </cell>
        </row>
        <row r="42">
          <cell r="B42" t="str">
            <v>Pirata</v>
          </cell>
          <cell r="D42">
            <v>102.9</v>
          </cell>
        </row>
        <row r="44">
          <cell r="B44" t="str">
            <v>Snipe</v>
          </cell>
          <cell r="D44">
            <v>92</v>
          </cell>
        </row>
        <row r="45">
          <cell r="B45" t="str">
            <v>Sunfish</v>
          </cell>
          <cell r="D45">
            <v>99.6</v>
          </cell>
        </row>
        <row r="46">
          <cell r="B46" t="str">
            <v>Vagabundo-Flipper</v>
          </cell>
          <cell r="D46">
            <v>103</v>
          </cell>
        </row>
        <row r="47">
          <cell r="F47" t="str">
            <v>MicroStandar</v>
          </cell>
          <cell r="H47">
            <v>88</v>
          </cell>
          <cell r="I47">
            <v>89.76</v>
          </cell>
        </row>
        <row r="48">
          <cell r="F48" t="str">
            <v>MicroRacer</v>
          </cell>
          <cell r="H48">
            <v>86.5</v>
          </cell>
          <cell r="I48">
            <v>88.23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ngs"/>
      <sheetName val="Regata 10-2-18"/>
      <sheetName val="Regata 11-2-18"/>
      <sheetName val="Regata 13-2-18"/>
      <sheetName val="Aero"/>
      <sheetName val="RYA"/>
    </sheetNames>
    <sheetDataSet>
      <sheetData sheetId="0"/>
      <sheetData sheetId="1"/>
      <sheetData sheetId="2"/>
      <sheetData sheetId="3"/>
      <sheetData sheetId="4">
        <row r="10">
          <cell r="C10">
            <v>89.4</v>
          </cell>
        </row>
      </sheetData>
      <sheetData sheetId="5">
        <row r="10">
          <cell r="J10">
            <v>90.2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4"/>
  <sheetViews>
    <sheetView zoomScale="90" zoomScaleNormal="90" workbookViewId="0">
      <selection activeCell="K5" sqref="K5"/>
    </sheetView>
  </sheetViews>
  <sheetFormatPr baseColWidth="10" defaultColWidth="9.140625" defaultRowHeight="15" x14ac:dyDescent="0.25"/>
  <cols>
    <col min="1" max="1" width="19.5703125" style="1" bestFit="1" customWidth="1"/>
    <col min="2" max="2" width="19.28515625" style="1" bestFit="1" customWidth="1"/>
    <col min="3" max="3" width="11.28515625" style="5" bestFit="1" customWidth="1"/>
    <col min="4" max="4" width="13.85546875" style="4" bestFit="1" customWidth="1"/>
    <col min="5" max="5" width="4.7109375" style="1" bestFit="1" customWidth="1"/>
    <col min="6" max="6" width="14.140625" style="1" bestFit="1" customWidth="1"/>
    <col min="7" max="10" width="9.140625" style="1"/>
    <col min="11" max="11" width="24" style="1" bestFit="1" customWidth="1"/>
    <col min="12" max="12" width="2.85546875" style="1" customWidth="1"/>
    <col min="13" max="13" width="14.85546875" style="1" customWidth="1"/>
    <col min="14" max="14" width="13.85546875" style="1" bestFit="1" customWidth="1"/>
    <col min="15" max="15" width="12.42578125" style="1" bestFit="1" customWidth="1"/>
    <col min="16" max="16" width="3.85546875" style="1" customWidth="1"/>
    <col min="17" max="17" width="18.28515625" style="1" bestFit="1" customWidth="1"/>
    <col min="18" max="18" width="2" style="1" customWidth="1"/>
    <col min="19" max="19" width="6" style="1" bestFit="1" customWidth="1"/>
    <col min="20" max="20" width="5.42578125" style="1" bestFit="1" customWidth="1"/>
    <col min="21" max="16384" width="9.140625" style="1"/>
  </cols>
  <sheetData>
    <row r="1" spans="1:23" ht="15.75" thickBot="1" x14ac:dyDescent="0.3">
      <c r="B1" s="2"/>
      <c r="C1" s="3"/>
      <c r="G1" s="5"/>
      <c r="H1" s="5"/>
      <c r="I1" s="5"/>
      <c r="J1" s="5"/>
      <c r="N1" s="5"/>
    </row>
    <row r="2" spans="1:23" ht="15.75" x14ac:dyDescent="0.25">
      <c r="A2" s="13"/>
      <c r="B2" s="73"/>
      <c r="C2" s="45"/>
      <c r="D2" s="6" t="s">
        <v>0</v>
      </c>
      <c r="F2" s="76" t="s">
        <v>1</v>
      </c>
      <c r="G2" s="76" t="s">
        <v>2</v>
      </c>
      <c r="H2" s="77" t="s">
        <v>3</v>
      </c>
      <c r="I2" s="76">
        <v>4</v>
      </c>
      <c r="J2" s="77" t="s">
        <v>4</v>
      </c>
      <c r="K2" s="9"/>
      <c r="M2" s="78" t="s">
        <v>0</v>
      </c>
      <c r="N2" s="78" t="s">
        <v>0</v>
      </c>
      <c r="Q2" s="75" t="s">
        <v>5</v>
      </c>
      <c r="S2" s="13"/>
      <c r="T2" s="13"/>
    </row>
    <row r="3" spans="1:23" ht="16.5" thickBot="1" x14ac:dyDescent="0.3">
      <c r="B3" s="2"/>
      <c r="C3" s="3"/>
      <c r="D3" s="11" t="s">
        <v>6</v>
      </c>
      <c r="F3" s="7" t="s">
        <v>7</v>
      </c>
      <c r="G3" s="7" t="s">
        <v>8</v>
      </c>
      <c r="H3" s="8" t="s">
        <v>9</v>
      </c>
      <c r="I3" s="7" t="s">
        <v>10</v>
      </c>
      <c r="J3" s="8" t="s">
        <v>11</v>
      </c>
      <c r="K3" s="9"/>
      <c r="M3" s="10" t="s">
        <v>130</v>
      </c>
      <c r="N3" s="10" t="s">
        <v>12</v>
      </c>
      <c r="Q3" s="4" t="s">
        <v>13</v>
      </c>
    </row>
    <row r="4" spans="1:23" x14ac:dyDescent="0.25">
      <c r="A4" s="74" t="s">
        <v>14</v>
      </c>
      <c r="B4" s="45" t="s">
        <v>15</v>
      </c>
      <c r="C4" s="45" t="s">
        <v>16</v>
      </c>
      <c r="D4" s="12" t="s">
        <v>1</v>
      </c>
      <c r="E4" s="13"/>
      <c r="F4" s="74"/>
      <c r="G4" s="74"/>
      <c r="H4" s="74"/>
      <c r="I4" s="74"/>
      <c r="J4" s="74"/>
      <c r="M4" s="13"/>
      <c r="N4" s="74"/>
      <c r="O4" s="13"/>
      <c r="Q4" s="13"/>
      <c r="S4" s="78" t="s">
        <v>1</v>
      </c>
      <c r="T4" s="78" t="s">
        <v>17</v>
      </c>
    </row>
    <row r="5" spans="1:23" x14ac:dyDescent="0.25">
      <c r="A5" s="14" t="s">
        <v>18</v>
      </c>
      <c r="B5" s="15" t="s">
        <v>19</v>
      </c>
      <c r="C5" s="16" t="s">
        <v>20</v>
      </c>
      <c r="D5" s="17">
        <v>97.1</v>
      </c>
      <c r="E5" s="13"/>
      <c r="F5" s="18">
        <v>97.1</v>
      </c>
      <c r="G5" s="18">
        <v>97.2</v>
      </c>
      <c r="H5" s="18">
        <v>96.8</v>
      </c>
      <c r="I5" s="18">
        <v>96</v>
      </c>
      <c r="J5" s="18">
        <v>94.6</v>
      </c>
      <c r="K5" s="13" t="s">
        <v>21</v>
      </c>
      <c r="M5" s="18">
        <f>+VLOOKUP(A5,[1]Ratings!$A$5:$D$33,4,0)</f>
        <v>97.1</v>
      </c>
      <c r="N5" s="18">
        <v>95.3</v>
      </c>
      <c r="O5" s="13" t="s">
        <v>22</v>
      </c>
      <c r="Q5" s="19" t="str">
        <f>+'[2]A. Olivos D-PN'!F15</f>
        <v>Bora Bora 26</v>
      </c>
      <c r="S5" s="19">
        <f>+'[2]A. Olivos D-PN'!H15</f>
        <v>88.1</v>
      </c>
      <c r="T5" s="19">
        <f>+'[2]A. Olivos D-PN'!I15</f>
        <v>89.861999999999995</v>
      </c>
      <c r="V5" s="20">
        <f>+H5/$D5-1</f>
        <v>-3.089598352214229E-3</v>
      </c>
      <c r="W5" s="20">
        <f>+I5/$D5-1</f>
        <v>-1.1328527291452062E-2</v>
      </c>
    </row>
    <row r="6" spans="1:23" x14ac:dyDescent="0.25">
      <c r="B6" s="2"/>
      <c r="C6" s="3"/>
      <c r="D6" s="21"/>
      <c r="F6" s="22"/>
      <c r="G6" s="22"/>
      <c r="H6" s="22"/>
      <c r="I6" s="22"/>
      <c r="J6" s="22"/>
      <c r="N6" s="22"/>
      <c r="Q6" s="23" t="str">
        <f>+'[2]A. Olivos D-PN'!F18</f>
        <v>Catalina 22</v>
      </c>
      <c r="R6" s="13"/>
      <c r="S6" s="23">
        <f>+'[2]A. Olivos D-PN'!H18</f>
        <v>94.7</v>
      </c>
      <c r="T6" s="23">
        <f>+'[2]A. Olivos D-PN'!I18</f>
        <v>96.594000000000008</v>
      </c>
      <c r="V6" s="20"/>
      <c r="W6" s="20"/>
    </row>
    <row r="7" spans="1:23" x14ac:dyDescent="0.25">
      <c r="A7" s="36" t="s">
        <v>23</v>
      </c>
      <c r="B7" s="37" t="s">
        <v>24</v>
      </c>
      <c r="C7" s="38"/>
      <c r="D7" s="39">
        <v>86.4</v>
      </c>
      <c r="E7" s="28"/>
      <c r="F7" s="18">
        <v>86.4</v>
      </c>
      <c r="G7" s="18">
        <v>95</v>
      </c>
      <c r="H7" s="18">
        <v>90.1</v>
      </c>
      <c r="I7" s="18">
        <v>85.6</v>
      </c>
      <c r="J7" s="18">
        <v>80.900000000000006</v>
      </c>
      <c r="K7" s="13" t="s">
        <v>25</v>
      </c>
      <c r="M7" s="18">
        <f>+VLOOKUP(A7,[1]Ratings!$A$5:$D$33,4,0)</f>
        <v>88</v>
      </c>
      <c r="N7" s="18">
        <v>86</v>
      </c>
      <c r="O7" s="28"/>
      <c r="Q7" s="19"/>
      <c r="S7" s="19" t="s">
        <v>26</v>
      </c>
      <c r="T7" s="19" t="s">
        <v>26</v>
      </c>
      <c r="V7" s="20">
        <f>+H7/$D7-1</f>
        <v>4.2824074074073959E-2</v>
      </c>
      <c r="W7" s="20">
        <f>+I7/$D7-1</f>
        <v>-9.2592592592594114E-3</v>
      </c>
    </row>
    <row r="8" spans="1:23" x14ac:dyDescent="0.25">
      <c r="A8" s="14" t="s">
        <v>27</v>
      </c>
      <c r="B8" s="15" t="s">
        <v>28</v>
      </c>
      <c r="C8" s="16" t="s">
        <v>29</v>
      </c>
      <c r="D8" s="17">
        <v>92.6</v>
      </c>
      <c r="E8" s="28"/>
      <c r="F8" s="18">
        <v>92.6</v>
      </c>
      <c r="G8" s="18" t="s">
        <v>26</v>
      </c>
      <c r="H8" s="18">
        <v>92.8</v>
      </c>
      <c r="I8" s="18">
        <v>91.3</v>
      </c>
      <c r="J8" s="18" t="s">
        <v>26</v>
      </c>
      <c r="M8" s="18">
        <f>+VLOOKUP(A8,[1]Ratings!$A$5:$D$33,4,0)</f>
        <v>92.6</v>
      </c>
      <c r="N8" s="18">
        <v>92.6</v>
      </c>
      <c r="O8" s="28"/>
      <c r="Q8" s="19" t="str">
        <f>+'[2]A. Olivos D-PN'!F21</f>
        <v>Catalina 27</v>
      </c>
      <c r="S8" s="19">
        <f>+'[2]A. Olivos D-PN'!H21</f>
        <v>86.4</v>
      </c>
      <c r="T8" s="19">
        <f>+'[2]A. Olivos D-PN'!I21</f>
        <v>88.128000000000014</v>
      </c>
      <c r="V8" s="20">
        <f>+H8/$D8-1</f>
        <v>2.1598272138230179E-3</v>
      </c>
      <c r="W8" s="20">
        <f>+I8/$D8-1</f>
        <v>-1.4038876889848728E-2</v>
      </c>
    </row>
    <row r="9" spans="1:23" x14ac:dyDescent="0.25">
      <c r="A9" s="24" t="s">
        <v>30</v>
      </c>
      <c r="B9" s="25"/>
      <c r="C9" s="26"/>
      <c r="D9" s="27">
        <v>110</v>
      </c>
      <c r="E9" s="13"/>
      <c r="F9" s="18" t="s">
        <v>26</v>
      </c>
      <c r="G9" s="18" t="s">
        <v>26</v>
      </c>
      <c r="H9" s="18" t="s">
        <v>26</v>
      </c>
      <c r="I9" s="18" t="s">
        <v>26</v>
      </c>
      <c r="J9" s="18" t="s">
        <v>26</v>
      </c>
      <c r="M9" s="18">
        <f>+VLOOKUP(A9,[1]Ratings!$A$5:$D$33,4,0)</f>
        <v>110</v>
      </c>
      <c r="N9" s="18">
        <v>102.9</v>
      </c>
      <c r="O9" s="13"/>
      <c r="Q9" s="19" t="str">
        <f>+'[2]A. Olivos D-PN'!B46</f>
        <v>Vagabundo-Flipper</v>
      </c>
      <c r="S9" s="19">
        <f>+'[2]A. Olivos D-PN'!D46</f>
        <v>103</v>
      </c>
      <c r="T9" s="19"/>
      <c r="V9" s="20"/>
      <c r="W9" s="20"/>
    </row>
    <row r="10" spans="1:23" x14ac:dyDescent="0.25">
      <c r="A10" s="14" t="s">
        <v>31</v>
      </c>
      <c r="B10" s="15" t="s">
        <v>32</v>
      </c>
      <c r="C10" s="16"/>
      <c r="D10" s="17">
        <v>83.3</v>
      </c>
      <c r="E10" s="28"/>
      <c r="F10" s="18">
        <v>83.3</v>
      </c>
      <c r="G10" s="18">
        <v>87.5</v>
      </c>
      <c r="H10" s="18">
        <v>86.2</v>
      </c>
      <c r="I10" s="18">
        <v>82.5</v>
      </c>
      <c r="J10" s="18">
        <v>80</v>
      </c>
      <c r="K10" s="1" t="s">
        <v>33</v>
      </c>
      <c r="M10" s="18">
        <f>+VLOOKUP(A10,[1]Ratings!$A$5:$D$33,4,0)</f>
        <v>83.3</v>
      </c>
      <c r="N10" s="18">
        <v>83.3</v>
      </c>
      <c r="O10" s="28"/>
      <c r="Q10" s="19" t="str">
        <f>+'[2]A. Olivos D-PN'!B4</f>
        <v>Hobie 16 (Chi)</v>
      </c>
      <c r="S10" s="19">
        <f>+'[2]A. Olivos D-PN'!D4</f>
        <v>77</v>
      </c>
      <c r="T10" s="19"/>
      <c r="V10" s="20">
        <f t="shared" ref="V10:W13" si="0">+H10/$D10-1</f>
        <v>3.4813925570228221E-2</v>
      </c>
      <c r="W10" s="20">
        <f t="shared" si="0"/>
        <v>-9.6038415366146435E-3</v>
      </c>
    </row>
    <row r="11" spans="1:23" x14ac:dyDescent="0.25">
      <c r="A11" s="14" t="s">
        <v>34</v>
      </c>
      <c r="B11" s="15" t="s">
        <v>35</v>
      </c>
      <c r="C11" s="16" t="s">
        <v>36</v>
      </c>
      <c r="D11" s="17">
        <v>85.2</v>
      </c>
      <c r="E11" s="28"/>
      <c r="F11" s="18">
        <v>85.2</v>
      </c>
      <c r="G11" s="18">
        <v>86.7</v>
      </c>
      <c r="H11" s="18">
        <v>86.1</v>
      </c>
      <c r="I11" s="18">
        <v>84.1</v>
      </c>
      <c r="J11" s="18">
        <v>81</v>
      </c>
      <c r="K11" s="1" t="s">
        <v>37</v>
      </c>
      <c r="M11" s="18">
        <f>+VLOOKUP(A11,[1]Ratings!$A$5:$D$33,4,0)</f>
        <v>85.2</v>
      </c>
      <c r="N11" s="18">
        <v>86.7</v>
      </c>
      <c r="O11" s="28"/>
      <c r="Q11" s="19" t="str">
        <f>+'[2]A. Olivos D-PN'!F30</f>
        <v>Hunter 30</v>
      </c>
      <c r="S11" s="19">
        <f>+'[2]A. Olivos D-PN'!H30</f>
        <v>90.2</v>
      </c>
      <c r="T11" s="19">
        <f>+'[2]A. Olivos D-PN'!I30</f>
        <v>92.004000000000005</v>
      </c>
      <c r="V11" s="20">
        <f t="shared" si="0"/>
        <v>1.0563380281690016E-2</v>
      </c>
      <c r="W11" s="20">
        <f t="shared" si="0"/>
        <v>-1.2910798122065859E-2</v>
      </c>
    </row>
    <row r="12" spans="1:23" x14ac:dyDescent="0.25">
      <c r="A12" s="14" t="s">
        <v>38</v>
      </c>
      <c r="B12" s="15"/>
      <c r="C12" s="16"/>
      <c r="D12" s="17">
        <v>80.8</v>
      </c>
      <c r="E12" s="28"/>
      <c r="F12" s="18">
        <v>80.8</v>
      </c>
      <c r="G12" s="18">
        <v>83.3</v>
      </c>
      <c r="H12" s="18">
        <v>81.900000000000006</v>
      </c>
      <c r="I12" s="18">
        <v>80.400000000000006</v>
      </c>
      <c r="J12" s="18">
        <v>78</v>
      </c>
      <c r="M12" s="18">
        <f>+VLOOKUP(A12,[1]Ratings!$A$5:$D$33,4,0)</f>
        <v>80.8</v>
      </c>
      <c r="N12" s="18">
        <v>83.3</v>
      </c>
      <c r="O12" s="28"/>
      <c r="Q12" s="19" t="str">
        <f>+'[2]A. Olivos D-PN'!F33</f>
        <v>J24</v>
      </c>
      <c r="S12" s="19">
        <f>+'[2]A. Olivos D-PN'!H33</f>
        <v>80.8</v>
      </c>
      <c r="T12" s="19">
        <f>+'[2]A. Olivos D-PN'!I33</f>
        <v>82.415999999999997</v>
      </c>
      <c r="V12" s="20">
        <f t="shared" si="0"/>
        <v>1.3613861386138737E-2</v>
      </c>
      <c r="W12" s="20">
        <f t="shared" si="0"/>
        <v>-4.9504950495048439E-3</v>
      </c>
    </row>
    <row r="13" spans="1:23" x14ac:dyDescent="0.25">
      <c r="A13" s="14" t="s">
        <v>39</v>
      </c>
      <c r="B13" s="15"/>
      <c r="C13" s="16"/>
      <c r="D13" s="17">
        <v>91.1</v>
      </c>
      <c r="E13" s="28"/>
      <c r="F13" s="18">
        <v>91.1</v>
      </c>
      <c r="G13" s="18">
        <v>93.7</v>
      </c>
      <c r="H13" s="18">
        <v>92.3</v>
      </c>
      <c r="I13" s="18">
        <v>91</v>
      </c>
      <c r="J13" s="18">
        <v>88.2</v>
      </c>
      <c r="M13" s="18">
        <f>+VLOOKUP(A13,[1]Ratings!$A$5:$D$33,4,0)</f>
        <v>91.1</v>
      </c>
      <c r="N13" s="18">
        <v>92.3</v>
      </c>
      <c r="O13" s="28"/>
      <c r="Q13" s="19" t="str">
        <f>+'[2]A. Olivos D-PN'!B32</f>
        <v>Laser</v>
      </c>
      <c r="S13" s="19">
        <f>+'[2]A. Olivos D-PN'!D32</f>
        <v>91.1</v>
      </c>
      <c r="T13" s="19"/>
      <c r="V13" s="20">
        <f t="shared" si="0"/>
        <v>1.317233809001106E-2</v>
      </c>
      <c r="W13" s="20">
        <f t="shared" si="0"/>
        <v>-1.097694840834218E-3</v>
      </c>
    </row>
    <row r="14" spans="1:23" x14ac:dyDescent="0.25">
      <c r="A14" s="24" t="s">
        <v>40</v>
      </c>
      <c r="B14" s="25" t="s">
        <v>41</v>
      </c>
      <c r="C14" s="26"/>
      <c r="D14" s="27">
        <v>95</v>
      </c>
      <c r="E14" s="28"/>
      <c r="F14" s="18" t="s">
        <v>26</v>
      </c>
      <c r="G14" s="18" t="s">
        <v>26</v>
      </c>
      <c r="H14" s="18" t="s">
        <v>26</v>
      </c>
      <c r="I14" s="18" t="s">
        <v>26</v>
      </c>
      <c r="J14" s="18" t="s">
        <v>26</v>
      </c>
      <c r="M14" s="18">
        <f>+VLOOKUP(A14,[1]Ratings!$A$5:$D$33,4,0)</f>
        <v>98</v>
      </c>
      <c r="N14" s="18">
        <v>98</v>
      </c>
      <c r="O14" s="28"/>
      <c r="Q14" s="19"/>
      <c r="S14" s="19" t="s">
        <v>26</v>
      </c>
      <c r="T14" s="19" t="s">
        <v>26</v>
      </c>
      <c r="V14" s="20"/>
      <c r="W14" s="20"/>
    </row>
    <row r="15" spans="1:23" x14ac:dyDescent="0.25">
      <c r="A15" s="24" t="s">
        <v>127</v>
      </c>
      <c r="B15" s="25"/>
      <c r="C15" s="26" t="s">
        <v>42</v>
      </c>
      <c r="D15" s="27">
        <v>103</v>
      </c>
      <c r="E15" s="28"/>
      <c r="F15" s="29" t="s">
        <v>26</v>
      </c>
      <c r="G15" s="29" t="s">
        <v>26</v>
      </c>
      <c r="H15" s="29" t="s">
        <v>26</v>
      </c>
      <c r="I15" s="29" t="s">
        <v>26</v>
      </c>
      <c r="J15" s="29" t="s">
        <v>26</v>
      </c>
      <c r="M15" s="18">
        <f>+VLOOKUP(A15,[1]Ratings!$A$5:$D$33,4,0)</f>
        <v>103</v>
      </c>
      <c r="N15" s="29">
        <v>105</v>
      </c>
      <c r="O15" s="30"/>
      <c r="Q15" s="31" t="str">
        <f>+'[2]A. Olivos D-PN'!F47</f>
        <v>MicroStandar</v>
      </c>
      <c r="R15" s="9"/>
      <c r="S15" s="31">
        <f>+'[2]A. Olivos D-PN'!H47</f>
        <v>88</v>
      </c>
      <c r="T15" s="31">
        <f>+'[2]A. Olivos D-PN'!I47</f>
        <v>89.76</v>
      </c>
      <c r="V15" s="20"/>
      <c r="W15" s="20"/>
    </row>
    <row r="16" spans="1:23" x14ac:dyDescent="0.25">
      <c r="A16" s="24" t="s">
        <v>43</v>
      </c>
      <c r="B16" s="25"/>
      <c r="C16" s="26" t="s">
        <v>44</v>
      </c>
      <c r="D16" s="27">
        <v>95</v>
      </c>
      <c r="E16" s="28"/>
      <c r="F16" s="32"/>
      <c r="G16" s="33"/>
      <c r="H16" s="33"/>
      <c r="I16" s="33"/>
      <c r="J16" s="32"/>
      <c r="M16" s="32" t="e">
        <f>+VLOOKUP(A16,[1]Ratings!$A$5:$D$33,4,0)</f>
        <v>#N/A</v>
      </c>
      <c r="N16" s="32"/>
      <c r="O16" s="30"/>
      <c r="Q16" s="35" t="str">
        <f>+'[2]A. Olivos D-PN'!F48</f>
        <v>MicroRacer</v>
      </c>
      <c r="R16" s="34"/>
      <c r="S16" s="35">
        <f>+'[2]A. Olivos D-PN'!H48</f>
        <v>86.5</v>
      </c>
      <c r="T16" s="35">
        <f>+'[2]A. Olivos D-PN'!I48</f>
        <v>88.23</v>
      </c>
      <c r="V16" s="20"/>
      <c r="W16" s="20"/>
    </row>
    <row r="17" spans="1:24" x14ac:dyDescent="0.25">
      <c r="A17" s="36" t="s">
        <v>45</v>
      </c>
      <c r="B17" s="37"/>
      <c r="C17" s="38" t="s">
        <v>46</v>
      </c>
      <c r="D17" s="39">
        <v>88</v>
      </c>
      <c r="E17" s="28"/>
      <c r="F17" s="32"/>
      <c r="G17" s="33"/>
      <c r="H17" s="33"/>
      <c r="I17" s="33"/>
      <c r="J17" s="32"/>
      <c r="K17" s="34" t="s">
        <v>129</v>
      </c>
      <c r="M17" s="32" t="e">
        <f>+VLOOKUP(A17,[1]Ratings!$A$5:$D$33,4,0)</f>
        <v>#N/A</v>
      </c>
      <c r="N17" s="32"/>
      <c r="O17" s="30"/>
      <c r="Q17" s="35"/>
      <c r="R17" s="34"/>
      <c r="S17" s="35"/>
      <c r="T17" s="35"/>
      <c r="V17" s="20"/>
      <c r="W17" s="20"/>
    </row>
    <row r="18" spans="1:24" x14ac:dyDescent="0.25">
      <c r="A18" s="36" t="s">
        <v>47</v>
      </c>
      <c r="B18" s="37"/>
      <c r="C18" s="38"/>
      <c r="D18" s="39">
        <v>62.4</v>
      </c>
      <c r="E18" s="28"/>
      <c r="F18" s="29">
        <v>62.4</v>
      </c>
      <c r="G18" s="29">
        <v>65.400000000000006</v>
      </c>
      <c r="H18" s="29">
        <v>63.9</v>
      </c>
      <c r="I18" s="29">
        <v>61.3</v>
      </c>
      <c r="J18" s="29">
        <v>59.5</v>
      </c>
      <c r="K18" s="9" t="s">
        <v>48</v>
      </c>
      <c r="M18" s="18">
        <f>+VLOOKUP(A18,[1]Ratings!$A$5:$D$33,4,0)</f>
        <v>62.4</v>
      </c>
      <c r="N18" s="29">
        <v>62.4</v>
      </c>
      <c r="O18" s="30"/>
      <c r="Q18" s="31" t="str">
        <f>+'[2]A. Olivos D-PN'!B8</f>
        <v xml:space="preserve">HobieF18 </v>
      </c>
      <c r="R18" s="9"/>
      <c r="S18" s="31">
        <f>+'[2]A. Olivos D-PN'!D8</f>
        <v>62.5</v>
      </c>
      <c r="T18" s="31"/>
      <c r="V18" s="20">
        <f>+H18/$D18-1</f>
        <v>2.4038461538461453E-2</v>
      </c>
      <c r="W18" s="20">
        <f>+I18/$D18-1</f>
        <v>-1.7628205128205177E-2</v>
      </c>
      <c r="X18" s="20">
        <f>+J18/$D18-1</f>
        <v>-4.647435897435892E-2</v>
      </c>
    </row>
    <row r="19" spans="1:24" x14ac:dyDescent="0.25">
      <c r="A19" s="24" t="s">
        <v>49</v>
      </c>
      <c r="B19" s="25" t="s">
        <v>50</v>
      </c>
      <c r="C19" s="26"/>
      <c r="D19" s="27">
        <v>98</v>
      </c>
      <c r="E19" s="28"/>
      <c r="F19" s="29" t="s">
        <v>26</v>
      </c>
      <c r="G19" s="29" t="s">
        <v>26</v>
      </c>
      <c r="H19" s="29" t="s">
        <v>26</v>
      </c>
      <c r="I19" s="29" t="s">
        <v>26</v>
      </c>
      <c r="J19" s="29" t="s">
        <v>26</v>
      </c>
      <c r="K19" s="34" t="s">
        <v>131</v>
      </c>
      <c r="L19" s="9"/>
      <c r="M19" s="18">
        <f>+VLOOKUP(A19,[1]Ratings!$A$5:$D$33,4,0)</f>
        <v>99.4</v>
      </c>
      <c r="N19" s="29">
        <v>99.4</v>
      </c>
      <c r="O19" s="34"/>
      <c r="Q19" s="31" t="str">
        <f>+'[2]A. Olivos D-PN'!B46</f>
        <v>Vagabundo-Flipper</v>
      </c>
      <c r="R19" s="9"/>
      <c r="S19" s="31">
        <f>+'[2]A. Olivos D-PN'!D46</f>
        <v>103</v>
      </c>
      <c r="T19" s="31"/>
      <c r="V19" s="20"/>
      <c r="W19" s="20"/>
    </row>
    <row r="20" spans="1:24" x14ac:dyDescent="0.25">
      <c r="A20" s="24" t="s">
        <v>52</v>
      </c>
      <c r="B20" s="25" t="s">
        <v>53</v>
      </c>
      <c r="C20" s="26"/>
      <c r="D20" s="27">
        <v>99.4</v>
      </c>
      <c r="E20" s="28"/>
      <c r="F20" s="29" t="s">
        <v>26</v>
      </c>
      <c r="G20" s="29" t="s">
        <v>26</v>
      </c>
      <c r="H20" s="29" t="s">
        <v>26</v>
      </c>
      <c r="I20" s="29" t="s">
        <v>26</v>
      </c>
      <c r="J20" s="29" t="s">
        <v>26</v>
      </c>
      <c r="K20" s="34" t="s">
        <v>51</v>
      </c>
      <c r="L20" s="9"/>
      <c r="M20" s="18">
        <f>+VLOOKUP(A20,[1]Ratings!$A$5:$D$33,4,0)</f>
        <v>99.4</v>
      </c>
      <c r="N20" s="29">
        <v>99.4</v>
      </c>
      <c r="O20" s="34" t="s">
        <v>51</v>
      </c>
      <c r="Q20" s="31" t="str">
        <f>+'[2]A. Olivos D-PN'!B39</f>
        <v>Nautisail 18.5</v>
      </c>
      <c r="R20" s="9"/>
      <c r="S20" s="31">
        <f>+'[2]A. Olivos D-PN'!D39</f>
        <v>89.7</v>
      </c>
      <c r="T20" s="31"/>
      <c r="V20" s="20"/>
      <c r="W20" s="20"/>
    </row>
    <row r="21" spans="1:24" x14ac:dyDescent="0.25">
      <c r="A21" s="24" t="s">
        <v>54</v>
      </c>
      <c r="B21" s="25"/>
      <c r="C21" s="26"/>
      <c r="D21" s="27">
        <v>110</v>
      </c>
      <c r="E21" s="28"/>
      <c r="F21" s="29" t="s">
        <v>26</v>
      </c>
      <c r="G21" s="29" t="s">
        <v>26</v>
      </c>
      <c r="H21" s="29" t="s">
        <v>26</v>
      </c>
      <c r="I21" s="29" t="s">
        <v>26</v>
      </c>
      <c r="J21" s="29" t="s">
        <v>26</v>
      </c>
      <c r="K21" s="34"/>
      <c r="M21" s="18">
        <f>+VLOOKUP(A21,[1]Ratings!$A$5:$D$33,4,0)</f>
        <v>108</v>
      </c>
      <c r="N21" s="29">
        <v>124</v>
      </c>
      <c r="O21" s="34" t="s">
        <v>55</v>
      </c>
      <c r="Q21" s="31" t="str">
        <f>+'[2]A. Olivos D-PN'!B40</f>
        <v>Open Bic</v>
      </c>
      <c r="R21" s="9"/>
      <c r="S21" s="31">
        <f>+'[2]A. Olivos D-PN'!D40</f>
        <v>91.1</v>
      </c>
      <c r="T21" s="31"/>
      <c r="V21" s="20"/>
      <c r="W21" s="20"/>
    </row>
    <row r="22" spans="1:24" x14ac:dyDescent="0.25">
      <c r="A22" s="24" t="s">
        <v>56</v>
      </c>
      <c r="B22" s="25" t="s">
        <v>57</v>
      </c>
      <c r="C22" s="26"/>
      <c r="D22" s="27">
        <v>118</v>
      </c>
      <c r="E22" s="28"/>
      <c r="F22" s="29" t="s">
        <v>26</v>
      </c>
      <c r="G22" s="29" t="s">
        <v>26</v>
      </c>
      <c r="H22" s="29" t="s">
        <v>26</v>
      </c>
      <c r="I22" s="29" t="s">
        <v>26</v>
      </c>
      <c r="J22" s="29" t="s">
        <v>26</v>
      </c>
      <c r="K22" s="34"/>
      <c r="M22" s="18">
        <f>+VLOOKUP(A22,[1]Ratings!$A$5:$D$33,4,0)</f>
        <v>118</v>
      </c>
      <c r="N22" s="29">
        <v>118</v>
      </c>
      <c r="O22" s="30"/>
      <c r="Q22" s="31"/>
      <c r="R22" s="9"/>
      <c r="S22" s="31" t="s">
        <v>26</v>
      </c>
      <c r="T22" s="31" t="s">
        <v>26</v>
      </c>
      <c r="V22" s="20"/>
      <c r="W22" s="20"/>
    </row>
    <row r="23" spans="1:24" x14ac:dyDescent="0.25">
      <c r="A23" s="36" t="s">
        <v>58</v>
      </c>
      <c r="B23" s="37"/>
      <c r="C23" s="38"/>
      <c r="D23" s="39">
        <v>102.9</v>
      </c>
      <c r="E23" s="28"/>
      <c r="F23" s="29">
        <v>102.9</v>
      </c>
      <c r="G23" s="29">
        <v>104.9</v>
      </c>
      <c r="H23" s="29">
        <v>102.9</v>
      </c>
      <c r="I23" s="29">
        <v>101.5</v>
      </c>
      <c r="J23" s="29" t="s">
        <v>26</v>
      </c>
      <c r="K23" s="34" t="s">
        <v>153</v>
      </c>
      <c r="M23" s="18">
        <f>+VLOOKUP(A23,[1]Ratings!$A$5:$D$33,4,0)</f>
        <v>102.9</v>
      </c>
      <c r="N23" s="29">
        <v>102.9</v>
      </c>
      <c r="O23" s="30"/>
      <c r="Q23" s="31" t="str">
        <f>+'[2]A. Olivos D-PN'!B42</f>
        <v>Pirata</v>
      </c>
      <c r="R23" s="9"/>
      <c r="S23" s="31">
        <f>+'[2]A. Olivos D-PN'!D42</f>
        <v>102.9</v>
      </c>
      <c r="T23" s="31"/>
      <c r="V23" s="20">
        <f>+H23/$D23-1</f>
        <v>0</v>
      </c>
      <c r="W23" s="20">
        <f>+I23/$D23-1</f>
        <v>-1.3605442176870763E-2</v>
      </c>
    </row>
    <row r="24" spans="1:24" x14ac:dyDescent="0.25">
      <c r="A24" s="36" t="s">
        <v>59</v>
      </c>
      <c r="B24" s="37" t="s">
        <v>60</v>
      </c>
      <c r="C24" s="38" t="s">
        <v>61</v>
      </c>
      <c r="D24" s="39">
        <f>ROUND(K24*D42,1)</f>
        <v>88.6</v>
      </c>
      <c r="E24" s="28"/>
      <c r="F24" s="29">
        <v>79.900000000000006</v>
      </c>
      <c r="G24" s="29">
        <v>81.900000000000006</v>
      </c>
      <c r="H24" s="29">
        <v>79.8</v>
      </c>
      <c r="I24" s="29" t="s">
        <v>26</v>
      </c>
      <c r="J24" s="29" t="s">
        <v>26</v>
      </c>
      <c r="K24" s="34">
        <v>671.2</v>
      </c>
      <c r="L24" s="9"/>
      <c r="M24" s="18">
        <f>+VLOOKUP(A24,[1]Ratings!$A$5:$D$33,4,0)</f>
        <v>79.900000000000006</v>
      </c>
      <c r="N24" s="29">
        <v>90</v>
      </c>
      <c r="O24" s="34" t="s">
        <v>62</v>
      </c>
      <c r="Q24" s="31" t="str">
        <f>+'[2]A. Olivos D-PN'!F14</f>
        <v>Beneteau 27.7</v>
      </c>
      <c r="R24" s="9"/>
      <c r="S24" s="31">
        <f>+'[2]A. Olivos D-PN'!H14</f>
        <v>78</v>
      </c>
      <c r="T24" s="31">
        <f>+'[2]A. Olivos D-PN'!I14</f>
        <v>79.56</v>
      </c>
      <c r="V24" s="20">
        <f>+H24/$D24-1</f>
        <v>-9.9322799097065428E-2</v>
      </c>
      <c r="W24" s="20"/>
    </row>
    <row r="25" spans="1:24" x14ac:dyDescent="0.25">
      <c r="A25" s="36" t="s">
        <v>63</v>
      </c>
      <c r="B25" s="37"/>
      <c r="C25" s="38"/>
      <c r="D25" s="39">
        <v>91.9</v>
      </c>
      <c r="E25" s="28"/>
      <c r="F25" s="29">
        <v>91.9</v>
      </c>
      <c r="G25" s="29">
        <v>94.8</v>
      </c>
      <c r="H25" s="29">
        <v>92.5</v>
      </c>
      <c r="I25" s="29">
        <v>91.4</v>
      </c>
      <c r="J25" s="29">
        <v>89</v>
      </c>
      <c r="K25" s="34"/>
      <c r="M25" s="18">
        <f>+VLOOKUP(A25,[1]Ratings!$A$5:$D$33,4,0)</f>
        <v>91.9</v>
      </c>
      <c r="N25" s="29">
        <v>92.5</v>
      </c>
      <c r="O25" s="30"/>
      <c r="Q25" s="31" t="str">
        <f>+'[2]A. Olivos D-PN'!B44</f>
        <v>Snipe</v>
      </c>
      <c r="R25" s="9"/>
      <c r="S25" s="31">
        <f>+'[2]A. Olivos D-PN'!D44</f>
        <v>92</v>
      </c>
      <c r="T25" s="31"/>
      <c r="V25" s="20">
        <f>+H25/$D25-1</f>
        <v>6.5288356909682932E-3</v>
      </c>
      <c r="W25" s="20">
        <f>+I25/$D25-1</f>
        <v>-5.4406964091403553E-3</v>
      </c>
    </row>
    <row r="26" spans="1:24" x14ac:dyDescent="0.25">
      <c r="A26" s="36" t="s">
        <v>64</v>
      </c>
      <c r="B26" s="37"/>
      <c r="C26" s="38"/>
      <c r="D26" s="39">
        <v>99.6</v>
      </c>
      <c r="E26" s="28"/>
      <c r="F26" s="29">
        <v>99.6</v>
      </c>
      <c r="G26" s="29">
        <v>103</v>
      </c>
      <c r="H26" s="29">
        <v>100.4</v>
      </c>
      <c r="I26" s="29">
        <v>97.8</v>
      </c>
      <c r="J26" s="29">
        <v>95.8</v>
      </c>
      <c r="K26" s="34"/>
      <c r="M26" s="18">
        <f>+VLOOKUP(A26,[1]Ratings!$A$5:$D$33,4,0)</f>
        <v>99.6</v>
      </c>
      <c r="N26" s="29">
        <v>97.9</v>
      </c>
      <c r="O26" s="30"/>
      <c r="Q26" s="31" t="str">
        <f>+'[2]A. Olivos D-PN'!B45</f>
        <v>Sunfish</v>
      </c>
      <c r="R26" s="9"/>
      <c r="S26" s="31">
        <f>+'[2]A. Olivos D-PN'!D45</f>
        <v>99.6</v>
      </c>
      <c r="T26" s="31"/>
      <c r="V26" s="20">
        <f>+H26/$D26-1</f>
        <v>8.0321285140563248E-3</v>
      </c>
      <c r="W26" s="20">
        <f>+I26/$D26-1</f>
        <v>-1.8072289156626509E-2</v>
      </c>
    </row>
    <row r="27" spans="1:24" x14ac:dyDescent="0.25">
      <c r="A27" s="36" t="s">
        <v>65</v>
      </c>
      <c r="B27" s="40" t="s">
        <v>66</v>
      </c>
      <c r="C27" s="41"/>
      <c r="D27" s="42">
        <v>92.5</v>
      </c>
      <c r="E27" s="28"/>
      <c r="F27" s="32"/>
      <c r="G27" s="32"/>
      <c r="H27" s="32"/>
      <c r="I27" s="32"/>
      <c r="J27" s="32"/>
      <c r="K27" s="9"/>
      <c r="M27" s="32" t="e">
        <f>+VLOOKUP(A27,[1]Ratings!$A$5:$D$33,4,0)</f>
        <v>#N/A</v>
      </c>
      <c r="N27" s="32"/>
      <c r="O27" s="30"/>
      <c r="Q27" s="35"/>
      <c r="R27" s="9"/>
      <c r="S27" s="35"/>
      <c r="T27" s="35"/>
      <c r="V27" s="20"/>
      <c r="W27" s="20"/>
    </row>
    <row r="28" spans="1:24" x14ac:dyDescent="0.25">
      <c r="A28" s="43" t="s">
        <v>67</v>
      </c>
      <c r="B28" s="44" t="s">
        <v>68</v>
      </c>
      <c r="C28" s="45"/>
      <c r="D28" s="17">
        <v>89.7</v>
      </c>
      <c r="E28" s="28"/>
      <c r="F28" s="46"/>
      <c r="G28" s="46"/>
      <c r="H28" s="46"/>
      <c r="I28" s="46"/>
      <c r="J28" s="46"/>
      <c r="K28" s="13"/>
      <c r="M28" s="46" t="e">
        <f>+VLOOKUP(A28,[1]Ratings!$A$5:$D$33,4,0)</f>
        <v>#N/A</v>
      </c>
      <c r="N28" s="46"/>
      <c r="O28" s="13"/>
      <c r="Q28" s="35"/>
      <c r="R28" s="34"/>
      <c r="S28" s="35"/>
      <c r="T28" s="35"/>
      <c r="V28" s="20"/>
      <c r="W28" s="20"/>
    </row>
    <row r="29" spans="1:24" x14ac:dyDescent="0.25">
      <c r="A29" s="36" t="s">
        <v>69</v>
      </c>
      <c r="B29" s="40" t="s">
        <v>70</v>
      </c>
      <c r="C29" s="41"/>
      <c r="D29" s="42">
        <v>86.7</v>
      </c>
      <c r="E29" s="28"/>
      <c r="F29" s="46"/>
      <c r="G29" s="46"/>
      <c r="H29" s="46"/>
      <c r="I29" s="46"/>
      <c r="J29" s="46"/>
      <c r="K29" s="13"/>
      <c r="M29" s="46" t="e">
        <f>+VLOOKUP(A29,[1]Ratings!$A$5:$D$33,4,0)</f>
        <v>#N/A</v>
      </c>
      <c r="N29" s="46"/>
      <c r="O29" s="13"/>
      <c r="Q29" s="35"/>
      <c r="R29" s="34"/>
      <c r="S29" s="35"/>
      <c r="T29" s="35"/>
      <c r="V29" s="20"/>
      <c r="W29" s="20"/>
    </row>
    <row r="30" spans="1:24" x14ac:dyDescent="0.25">
      <c r="A30" s="14" t="s">
        <v>71</v>
      </c>
      <c r="B30" s="15"/>
      <c r="C30" s="16"/>
      <c r="D30" s="17">
        <v>77.5</v>
      </c>
      <c r="E30" s="28"/>
      <c r="F30" s="18">
        <v>77.5</v>
      </c>
      <c r="G30" s="18">
        <v>84.1</v>
      </c>
      <c r="H30" s="18">
        <v>80.7</v>
      </c>
      <c r="I30" s="18">
        <v>76.3</v>
      </c>
      <c r="J30" s="18">
        <v>71.3</v>
      </c>
      <c r="M30" s="18">
        <f>+VLOOKUP(A30,[1]Ratings!$A$5:$D$33,4,0)</f>
        <v>77.5</v>
      </c>
      <c r="N30" s="18">
        <v>77.5</v>
      </c>
      <c r="O30" s="28"/>
      <c r="Q30" s="31" t="str">
        <f>+'[2]A. Olivos D-PN'!B14</f>
        <v>Prindle 16</v>
      </c>
      <c r="R30" s="9"/>
      <c r="S30" s="31">
        <f>+'[2]A. Olivos D-PN'!D14</f>
        <v>77.5</v>
      </c>
      <c r="T30" s="31"/>
      <c r="V30" s="20">
        <f>+H30/$D30-1</f>
        <v>4.1290322580645133E-2</v>
      </c>
      <c r="W30" s="20">
        <f>+I30/$D30-1</f>
        <v>-1.5483870967741953E-2</v>
      </c>
      <c r="X30" s="20">
        <f>+J30/$D30-1</f>
        <v>-8.0000000000000071E-2</v>
      </c>
    </row>
    <row r="31" spans="1:24" x14ac:dyDescent="0.25">
      <c r="A31" s="14" t="s">
        <v>72</v>
      </c>
      <c r="B31" s="15"/>
      <c r="C31" s="16"/>
      <c r="D31" s="17">
        <v>68.2</v>
      </c>
      <c r="E31" s="28"/>
      <c r="F31" s="18">
        <v>68.2</v>
      </c>
      <c r="G31" s="18" t="s">
        <v>26</v>
      </c>
      <c r="H31" s="18">
        <v>69.599999999999994</v>
      </c>
      <c r="I31" s="18" t="s">
        <v>26</v>
      </c>
      <c r="J31" s="18" t="s">
        <v>26</v>
      </c>
      <c r="M31" s="18">
        <f>+VLOOKUP(A31,[1]Ratings!$A$5:$D$33,4,0)</f>
        <v>68.2</v>
      </c>
      <c r="N31" s="18">
        <v>68.2</v>
      </c>
      <c r="O31" s="28"/>
      <c r="Q31" s="31" t="str">
        <f>+'[2]A. Olivos D-PN'!B27</f>
        <v>49'er</v>
      </c>
      <c r="R31" s="9"/>
      <c r="S31" s="31">
        <f>+'[2]A. Olivos D-PN'!D27</f>
        <v>68.8</v>
      </c>
      <c r="T31" s="36"/>
      <c r="V31" s="20">
        <f>+H31/$D31-1</f>
        <v>2.0527859237536639E-2</v>
      </c>
      <c r="W31" s="20"/>
    </row>
    <row r="32" spans="1:24" x14ac:dyDescent="0.25">
      <c r="A32" s="36" t="s">
        <v>73</v>
      </c>
      <c r="B32" s="37"/>
      <c r="C32" s="38"/>
      <c r="D32" s="39">
        <v>100</v>
      </c>
      <c r="E32" s="28"/>
      <c r="F32" s="29">
        <v>100</v>
      </c>
      <c r="G32" s="29" t="s">
        <v>26</v>
      </c>
      <c r="H32" s="29" t="s">
        <v>26</v>
      </c>
      <c r="I32" s="29" t="s">
        <v>26</v>
      </c>
      <c r="J32" s="29" t="s">
        <v>26</v>
      </c>
      <c r="K32" s="32" t="s">
        <v>74</v>
      </c>
      <c r="M32" s="18">
        <f>+VLOOKUP(A32,[1]Ratings!$A$5:$D$33,4,0)</f>
        <v>110</v>
      </c>
      <c r="N32" s="29"/>
      <c r="O32" s="28"/>
      <c r="Q32" s="31" t="str">
        <f>+'[2]A. Olivos D-PN'!B46</f>
        <v>Vagabundo-Flipper</v>
      </c>
      <c r="R32" s="9"/>
      <c r="S32" s="31">
        <f>+'[2]A. Olivos D-PN'!D46</f>
        <v>103</v>
      </c>
      <c r="T32" s="36"/>
      <c r="V32" s="20"/>
      <c r="W32" s="20"/>
    </row>
    <row r="33" spans="1:23" x14ac:dyDescent="0.25">
      <c r="A33" s="14" t="s">
        <v>75</v>
      </c>
      <c r="B33" s="15" t="s">
        <v>128</v>
      </c>
      <c r="C33" s="16" t="s">
        <v>76</v>
      </c>
      <c r="D33" s="47">
        <v>93.4</v>
      </c>
      <c r="E33" s="28"/>
      <c r="F33" s="48"/>
      <c r="G33" s="48"/>
      <c r="H33" s="48"/>
      <c r="I33" s="48"/>
      <c r="J33" s="48"/>
      <c r="M33" s="18">
        <f>+VLOOKUP(A33,[1]Ratings!$A$5:$D$33,4,0)</f>
        <v>93.4</v>
      </c>
      <c r="N33" s="48"/>
      <c r="Q33" s="14"/>
      <c r="S33" s="14"/>
      <c r="T33" s="14"/>
      <c r="V33" s="20">
        <f>+H33/$D33-1</f>
        <v>-1</v>
      </c>
      <c r="W33" s="20">
        <f>+I33/$D33-1</f>
        <v>-1</v>
      </c>
    </row>
    <row r="34" spans="1:23" x14ac:dyDescent="0.25">
      <c r="A34" s="24" t="s">
        <v>77</v>
      </c>
      <c r="B34" s="25" t="s">
        <v>78</v>
      </c>
      <c r="C34" s="26"/>
      <c r="D34" s="49">
        <v>98</v>
      </c>
      <c r="E34" s="28"/>
      <c r="F34" s="18" t="s">
        <v>26</v>
      </c>
      <c r="G34" s="18" t="s">
        <v>26</v>
      </c>
      <c r="H34" s="18" t="s">
        <v>26</v>
      </c>
      <c r="I34" s="18" t="s">
        <v>26</v>
      </c>
      <c r="J34" s="18" t="s">
        <v>26</v>
      </c>
      <c r="M34" s="18">
        <f>+VLOOKUP(A34,[1]Ratings!$A$5:$D$33,4,0)</f>
        <v>98</v>
      </c>
      <c r="N34" s="18">
        <v>98</v>
      </c>
      <c r="O34" s="28"/>
      <c r="Q34" s="19"/>
      <c r="S34" s="19" t="s">
        <v>26</v>
      </c>
      <c r="T34" s="19" t="s">
        <v>26</v>
      </c>
      <c r="V34" s="20"/>
      <c r="W34" s="20"/>
    </row>
    <row r="35" spans="1:23" ht="15.75" thickBot="1" x14ac:dyDescent="0.3">
      <c r="A35" s="14" t="s">
        <v>79</v>
      </c>
      <c r="B35" s="15"/>
      <c r="C35" s="16"/>
      <c r="D35" s="50">
        <v>96.7</v>
      </c>
      <c r="E35" s="28"/>
      <c r="F35" s="18">
        <v>96.7</v>
      </c>
      <c r="G35" s="18">
        <v>99.4</v>
      </c>
      <c r="H35" s="18">
        <v>97.3</v>
      </c>
      <c r="I35" s="18">
        <v>93.6</v>
      </c>
      <c r="J35" s="18"/>
      <c r="M35" s="18">
        <f>+VLOOKUP(A35,[1]Ratings!$A$5:$D$33,4,0)</f>
        <v>96.7</v>
      </c>
      <c r="N35" s="18"/>
      <c r="O35" s="28"/>
      <c r="Q35" s="19" t="str">
        <f>+'[2]A. Olivos D-PN'!B35</f>
        <v>Laser Radial</v>
      </c>
      <c r="S35" s="31">
        <f>+'[2]A. Olivos D-PN'!D35</f>
        <v>96.7</v>
      </c>
      <c r="T35" s="19"/>
      <c r="V35" s="20">
        <f>+H35/$D35-1</f>
        <v>6.2047569803516112E-3</v>
      </c>
      <c r="W35" s="20">
        <f>+I35/$D35-1</f>
        <v>-3.2057911065149991E-2</v>
      </c>
    </row>
    <row r="38" spans="1:23" x14ac:dyDescent="0.25">
      <c r="A38" s="14" t="s">
        <v>80</v>
      </c>
      <c r="B38" s="14"/>
      <c r="C38" s="48"/>
      <c r="D38" s="51">
        <f>+[3]Aero!C10</f>
        <v>89.4</v>
      </c>
      <c r="F38" s="13" t="s">
        <v>81</v>
      </c>
      <c r="G38" s="13"/>
      <c r="H38" s="13"/>
      <c r="I38" s="13"/>
      <c r="J38" s="13"/>
      <c r="M38" s="13" t="e">
        <f>+VLOOKUP(A38,[1]Ratings!$A$5:$D$33,4,0)</f>
        <v>#N/A</v>
      </c>
      <c r="N38" s="13"/>
      <c r="Q38" s="13"/>
      <c r="S38" s="13"/>
      <c r="T38" s="13"/>
    </row>
    <row r="39" spans="1:23" x14ac:dyDescent="0.25">
      <c r="A39" s="14" t="s">
        <v>126</v>
      </c>
      <c r="B39" s="14" t="s">
        <v>82</v>
      </c>
      <c r="C39" s="48" t="s">
        <v>83</v>
      </c>
      <c r="D39" s="17">
        <v>80.8</v>
      </c>
      <c r="F39" s="34" t="s">
        <v>155</v>
      </c>
      <c r="G39" s="13"/>
      <c r="H39" s="13"/>
      <c r="I39" s="13"/>
      <c r="J39" s="13"/>
      <c r="M39" s="13" t="e">
        <f>+VLOOKUP(A39,[1]Ratings!$A$5:$D$33,4,0)</f>
        <v>#N/A</v>
      </c>
      <c r="N39" s="13"/>
      <c r="Q39" s="13"/>
      <c r="S39" s="13"/>
      <c r="T39" s="13"/>
    </row>
    <row r="40" spans="1:23" x14ac:dyDescent="0.25">
      <c r="D40" s="79"/>
    </row>
    <row r="42" spans="1:23" x14ac:dyDescent="0.25">
      <c r="A42" s="83" t="s">
        <v>152</v>
      </c>
      <c r="B42"/>
      <c r="C42"/>
      <c r="D42" s="84">
        <v>0.13203200000000001</v>
      </c>
    </row>
    <row r="45" spans="1:23" x14ac:dyDescent="0.25">
      <c r="B45" s="5" t="s">
        <v>145</v>
      </c>
      <c r="C45" s="5" t="s">
        <v>146</v>
      </c>
      <c r="D45" s="10" t="s">
        <v>149</v>
      </c>
      <c r="E45" s="5"/>
      <c r="F45" s="5" t="s">
        <v>156</v>
      </c>
    </row>
    <row r="46" spans="1:23" x14ac:dyDescent="0.25">
      <c r="A46" s="1" t="s">
        <v>75</v>
      </c>
      <c r="B46" s="90">
        <f t="shared" ref="B46:B52" si="1">VLOOKUP(A46,$A$5:$D$41,4,0)</f>
        <v>93.4</v>
      </c>
      <c r="C46" s="5">
        <v>98.2</v>
      </c>
      <c r="D46" s="10">
        <f>C46-B46</f>
        <v>4.7999999999999972</v>
      </c>
      <c r="E46" s="95">
        <f>C46/B46-1</f>
        <v>5.1391862955032064E-2</v>
      </c>
      <c r="F46" s="5">
        <f>C46</f>
        <v>98.2</v>
      </c>
    </row>
    <row r="47" spans="1:23" x14ac:dyDescent="0.25">
      <c r="A47" s="1" t="s">
        <v>126</v>
      </c>
      <c r="B47" s="91">
        <f t="shared" si="1"/>
        <v>80.8</v>
      </c>
      <c r="C47" s="5">
        <v>90.2</v>
      </c>
      <c r="D47" s="10">
        <f t="shared" ref="D47:D53" si="2">C47-B47</f>
        <v>9.4000000000000057</v>
      </c>
      <c r="E47" s="95">
        <f>C47/B47-1</f>
        <v>0.11633663366336644</v>
      </c>
      <c r="F47" s="5">
        <f t="shared" ref="F47:F48" si="3">C47</f>
        <v>90.2</v>
      </c>
    </row>
    <row r="48" spans="1:23" x14ac:dyDescent="0.25">
      <c r="A48" s="1" t="s">
        <v>59</v>
      </c>
      <c r="B48" s="90">
        <f t="shared" si="1"/>
        <v>88.6</v>
      </c>
      <c r="C48" s="5">
        <v>91.7</v>
      </c>
      <c r="D48" s="10">
        <f t="shared" si="2"/>
        <v>3.1000000000000085</v>
      </c>
      <c r="E48" s="95">
        <f>C48/B48-1</f>
        <v>3.4988713318284459E-2</v>
      </c>
      <c r="F48" s="5">
        <f t="shared" si="3"/>
        <v>91.7</v>
      </c>
    </row>
    <row r="49" spans="1:9" x14ac:dyDescent="0.25">
      <c r="A49" s="1" t="s">
        <v>45</v>
      </c>
      <c r="B49" s="92">
        <f t="shared" si="1"/>
        <v>88</v>
      </c>
      <c r="C49" s="89" t="s">
        <v>26</v>
      </c>
      <c r="D49" s="10"/>
      <c r="E49" s="5"/>
      <c r="F49" s="22">
        <f>B49+$D$56</f>
        <v>94.14</v>
      </c>
    </row>
    <row r="50" spans="1:9" x14ac:dyDescent="0.25">
      <c r="A50" s="1" t="s">
        <v>38</v>
      </c>
      <c r="B50" s="90">
        <f t="shared" si="1"/>
        <v>80.8</v>
      </c>
      <c r="C50" s="5">
        <v>90.5</v>
      </c>
      <c r="D50" s="10">
        <f t="shared" si="2"/>
        <v>9.7000000000000028</v>
      </c>
      <c r="E50" s="95">
        <f>C50/B50-1</f>
        <v>0.12004950495049505</v>
      </c>
      <c r="F50" s="22">
        <f>C50</f>
        <v>90.5</v>
      </c>
    </row>
    <row r="51" spans="1:9" x14ac:dyDescent="0.25">
      <c r="A51" s="1" t="s">
        <v>27</v>
      </c>
      <c r="B51" s="92">
        <f t="shared" si="1"/>
        <v>92.6</v>
      </c>
      <c r="C51" s="89" t="s">
        <v>26</v>
      </c>
      <c r="D51" s="10"/>
      <c r="E51" s="5"/>
      <c r="F51" s="22">
        <f t="shared" ref="F51:F54" si="4">B51+$D$56</f>
        <v>98.74</v>
      </c>
      <c r="H51" s="1">
        <v>85.1</v>
      </c>
      <c r="I51" s="95">
        <f>H51/B51-1</f>
        <v>-8.0993520518358508E-2</v>
      </c>
    </row>
    <row r="52" spans="1:9" x14ac:dyDescent="0.25">
      <c r="A52" s="1" t="s">
        <v>118</v>
      </c>
      <c r="B52" s="92">
        <f t="shared" si="1"/>
        <v>118</v>
      </c>
      <c r="C52" s="89" t="s">
        <v>26</v>
      </c>
      <c r="D52" s="10"/>
      <c r="E52" s="5"/>
      <c r="F52" s="22">
        <f t="shared" si="4"/>
        <v>124.14</v>
      </c>
    </row>
    <row r="53" spans="1:9" x14ac:dyDescent="0.25">
      <c r="A53" s="1" t="s">
        <v>99</v>
      </c>
      <c r="B53" s="90">
        <f t="shared" ref="B53:B54" si="5">VLOOKUP(A53,$A$5:$D$41,4,0)</f>
        <v>85.2</v>
      </c>
      <c r="C53" s="5">
        <v>88.9</v>
      </c>
      <c r="D53" s="10">
        <f t="shared" si="2"/>
        <v>3.7000000000000028</v>
      </c>
      <c r="E53" s="95">
        <f>C53/B53-1</f>
        <v>4.3427230046948484E-2</v>
      </c>
      <c r="F53" s="5">
        <f>C53</f>
        <v>88.9</v>
      </c>
    </row>
    <row r="54" spans="1:9" x14ac:dyDescent="0.25">
      <c r="A54" s="1" t="s">
        <v>127</v>
      </c>
      <c r="B54" s="90">
        <f t="shared" si="5"/>
        <v>103</v>
      </c>
      <c r="C54" s="89" t="s">
        <v>26</v>
      </c>
      <c r="D54" s="10"/>
      <c r="E54" s="5"/>
      <c r="F54" s="22">
        <f t="shared" si="4"/>
        <v>109.14</v>
      </c>
    </row>
    <row r="55" spans="1:9" x14ac:dyDescent="0.25">
      <c r="B55" s="5"/>
      <c r="D55" s="10"/>
      <c r="E55" s="5"/>
      <c r="F55" s="5"/>
    </row>
    <row r="56" spans="1:9" x14ac:dyDescent="0.25">
      <c r="B56" s="5"/>
      <c r="C56" s="10" t="s">
        <v>157</v>
      </c>
      <c r="D56" s="10">
        <f>AVERAGE(D46:D53)</f>
        <v>6.1400000000000032</v>
      </c>
      <c r="E56" s="5"/>
      <c r="F56" s="5"/>
    </row>
    <row r="59" spans="1:9" x14ac:dyDescent="0.25">
      <c r="A59" s="5"/>
      <c r="B59" s="5" t="s">
        <v>145</v>
      </c>
      <c r="C59" s="5" t="s">
        <v>146</v>
      </c>
      <c r="D59" s="5" t="s">
        <v>149</v>
      </c>
      <c r="G59" s="5" t="s">
        <v>160</v>
      </c>
    </row>
    <row r="60" spans="1:9" x14ac:dyDescent="0.25">
      <c r="A60" s="94" t="s">
        <v>39</v>
      </c>
      <c r="B60" s="93">
        <f>VLOOKUP(A60,$A$5:$D$39,4,0)</f>
        <v>91.1</v>
      </c>
      <c r="C60" s="93">
        <v>109.7</v>
      </c>
      <c r="D60" s="93">
        <f>C60-B60</f>
        <v>18.600000000000009</v>
      </c>
      <c r="E60" s="95">
        <f t="shared" ref="E60:E67" si="6">C60/B60-1</f>
        <v>0.20417124039517032</v>
      </c>
    </row>
    <row r="61" spans="1:9" x14ac:dyDescent="0.25">
      <c r="A61" s="94" t="s">
        <v>72</v>
      </c>
      <c r="B61" s="93">
        <f t="shared" ref="B61:B67" si="7">VLOOKUP(A61,$A$5:$D$39,4,0)</f>
        <v>68.2</v>
      </c>
      <c r="C61" s="93">
        <v>71</v>
      </c>
      <c r="D61" s="93">
        <f>C61-B61</f>
        <v>2.7999999999999972</v>
      </c>
      <c r="E61" s="95">
        <f t="shared" si="6"/>
        <v>4.1055718475073277E-2</v>
      </c>
    </row>
    <row r="62" spans="1:9" x14ac:dyDescent="0.25">
      <c r="A62" s="94" t="s">
        <v>79</v>
      </c>
      <c r="B62" s="93">
        <f t="shared" si="7"/>
        <v>96.7</v>
      </c>
      <c r="C62" s="93">
        <v>113.9</v>
      </c>
      <c r="D62" s="93">
        <f t="shared" ref="D62:D66" si="8">C62-B62</f>
        <v>17.200000000000003</v>
      </c>
      <c r="E62" s="95">
        <f t="shared" si="6"/>
        <v>0.17786970010341263</v>
      </c>
    </row>
    <row r="63" spans="1:9" x14ac:dyDescent="0.25">
      <c r="A63" s="94" t="s">
        <v>158</v>
      </c>
      <c r="B63" s="93">
        <f>D38</f>
        <v>89.4</v>
      </c>
      <c r="C63" s="93">
        <v>112</v>
      </c>
      <c r="D63" s="93">
        <f t="shared" si="8"/>
        <v>22.599999999999994</v>
      </c>
      <c r="E63" s="95">
        <f t="shared" si="6"/>
        <v>0.2527964205816553</v>
      </c>
    </row>
    <row r="64" spans="1:9" x14ac:dyDescent="0.25">
      <c r="A64" s="94" t="s">
        <v>104</v>
      </c>
      <c r="B64" s="93">
        <f t="shared" si="7"/>
        <v>91.9</v>
      </c>
      <c r="C64" s="93">
        <v>109.5</v>
      </c>
      <c r="D64" s="93">
        <f t="shared" si="8"/>
        <v>17.599999999999994</v>
      </c>
      <c r="E64" s="95">
        <f t="shared" si="6"/>
        <v>0.19151251360174104</v>
      </c>
    </row>
    <row r="65" spans="1:7" x14ac:dyDescent="0.25">
      <c r="A65" s="94" t="s">
        <v>47</v>
      </c>
      <c r="B65" s="93">
        <f t="shared" si="7"/>
        <v>62.4</v>
      </c>
      <c r="C65" s="93">
        <v>69.3</v>
      </c>
      <c r="D65" s="93">
        <f t="shared" si="8"/>
        <v>6.8999999999999986</v>
      </c>
      <c r="E65" s="95">
        <f t="shared" si="6"/>
        <v>0.11057692307692313</v>
      </c>
      <c r="G65" s="5">
        <f>1000*678/10000</f>
        <v>67.8</v>
      </c>
    </row>
    <row r="66" spans="1:7" x14ac:dyDescent="0.25">
      <c r="A66" s="94" t="s">
        <v>159</v>
      </c>
      <c r="B66" s="93">
        <v>123.6</v>
      </c>
      <c r="C66" s="93">
        <v>166.5</v>
      </c>
      <c r="D66" s="93">
        <f t="shared" si="8"/>
        <v>42.900000000000006</v>
      </c>
      <c r="E66" s="95">
        <f t="shared" si="6"/>
        <v>0.34708737864077666</v>
      </c>
    </row>
    <row r="67" spans="1:7" x14ac:dyDescent="0.25">
      <c r="A67" s="94" t="s">
        <v>71</v>
      </c>
      <c r="B67" s="93">
        <f t="shared" si="7"/>
        <v>77.5</v>
      </c>
      <c r="C67" s="93">
        <f>G67</f>
        <v>83.800799999999995</v>
      </c>
      <c r="D67" s="93">
        <f t="shared" ref="D67" si="9">C67-B67</f>
        <v>6.3007999999999953</v>
      </c>
      <c r="E67" s="95">
        <f t="shared" si="6"/>
        <v>8.1300645161290319E-2</v>
      </c>
      <c r="G67" s="93">
        <f>1236*678/10000</f>
        <v>83.800799999999995</v>
      </c>
    </row>
    <row r="68" spans="1:7" x14ac:dyDescent="0.25">
      <c r="A68" s="94" t="s">
        <v>161</v>
      </c>
      <c r="B68" s="93">
        <v>84.5</v>
      </c>
      <c r="C68" s="93">
        <v>91.5</v>
      </c>
      <c r="D68" s="93">
        <f t="shared" ref="D68:D70" si="10">C68-B68</f>
        <v>7</v>
      </c>
      <c r="E68" s="95">
        <f t="shared" ref="E68:E70" si="11">C68/B68-1</f>
        <v>8.2840236686390512E-2</v>
      </c>
    </row>
    <row r="69" spans="1:7" x14ac:dyDescent="0.25">
      <c r="A69" s="94">
        <v>420</v>
      </c>
      <c r="B69" s="93">
        <v>97.6</v>
      </c>
      <c r="C69" s="93">
        <v>111</v>
      </c>
      <c r="D69" s="93">
        <f t="shared" si="10"/>
        <v>13.400000000000006</v>
      </c>
      <c r="E69" s="95">
        <f t="shared" si="11"/>
        <v>0.13729508196721318</v>
      </c>
    </row>
    <row r="70" spans="1:7" x14ac:dyDescent="0.25">
      <c r="A70" s="94" t="s">
        <v>162</v>
      </c>
      <c r="B70" s="93">
        <v>87</v>
      </c>
      <c r="C70" s="93">
        <v>117</v>
      </c>
      <c r="D70" s="93">
        <f t="shared" si="10"/>
        <v>30</v>
      </c>
      <c r="E70" s="95">
        <f t="shared" si="11"/>
        <v>0.34482758620689657</v>
      </c>
    </row>
    <row r="71" spans="1:7" x14ac:dyDescent="0.25">
      <c r="A71" s="94" t="s">
        <v>163</v>
      </c>
      <c r="B71" s="93">
        <v>92.8</v>
      </c>
      <c r="C71" s="93">
        <v>106.5</v>
      </c>
      <c r="D71" s="93">
        <f t="shared" ref="D71" si="12">C71-B71</f>
        <v>13.700000000000003</v>
      </c>
      <c r="E71" s="95">
        <f t="shared" ref="E71" si="13">C71/B71-1</f>
        <v>0.14762931034482762</v>
      </c>
    </row>
    <row r="72" spans="1:7" x14ac:dyDescent="0.25">
      <c r="A72" s="94" t="s">
        <v>164</v>
      </c>
      <c r="B72" s="93">
        <v>76.3</v>
      </c>
      <c r="C72" s="93">
        <v>81.599999999999994</v>
      </c>
      <c r="D72" s="93">
        <f t="shared" ref="D72" si="14">C72-B72</f>
        <v>5.2999999999999972</v>
      </c>
      <c r="E72" s="95">
        <f t="shared" ref="E72" si="15">C72/B72-1</f>
        <v>6.9462647444298753E-2</v>
      </c>
    </row>
    <row r="73" spans="1:7" x14ac:dyDescent="0.25">
      <c r="B73" s="93"/>
      <c r="C73" s="93"/>
      <c r="D73" s="93"/>
      <c r="E73" s="95"/>
    </row>
    <row r="74" spans="1:7" x14ac:dyDescent="0.25">
      <c r="B74" s="93"/>
      <c r="C74" s="93"/>
      <c r="D74" s="93"/>
      <c r="E74" s="95"/>
    </row>
    <row r="75" spans="1:7" x14ac:dyDescent="0.25">
      <c r="B75" s="96"/>
      <c r="C75" s="93"/>
      <c r="D75" s="72"/>
    </row>
    <row r="76" spans="1:7" x14ac:dyDescent="0.25">
      <c r="B76" s="96"/>
      <c r="C76" s="93"/>
      <c r="D76" s="72"/>
    </row>
    <row r="77" spans="1:7" x14ac:dyDescent="0.25">
      <c r="B77" s="96"/>
      <c r="C77" s="93"/>
      <c r="D77" s="72"/>
    </row>
    <row r="78" spans="1:7" x14ac:dyDescent="0.25">
      <c r="B78" s="96"/>
      <c r="C78" s="93"/>
      <c r="D78" s="72"/>
    </row>
    <row r="79" spans="1:7" x14ac:dyDescent="0.25">
      <c r="B79" s="96"/>
      <c r="C79" s="93"/>
      <c r="D79" s="72"/>
    </row>
    <row r="80" spans="1:7" x14ac:dyDescent="0.25">
      <c r="B80" s="96"/>
      <c r="C80" s="93"/>
      <c r="D80" s="72"/>
    </row>
    <row r="81" spans="2:4" x14ac:dyDescent="0.25">
      <c r="B81" s="96"/>
      <c r="C81" s="93"/>
      <c r="D81" s="72"/>
    </row>
    <row r="82" spans="2:4" x14ac:dyDescent="0.25">
      <c r="B82" s="96"/>
      <c r="C82" s="93"/>
      <c r="D82" s="72"/>
    </row>
    <row r="83" spans="2:4" x14ac:dyDescent="0.25">
      <c r="B83" s="96"/>
      <c r="C83" s="93"/>
      <c r="D83" s="72"/>
    </row>
    <row r="84" spans="2:4" x14ac:dyDescent="0.25">
      <c r="B84" s="96"/>
      <c r="C84" s="93"/>
      <c r="D84" s="72"/>
    </row>
  </sheetData>
  <pageMargins left="0.70866141732283472" right="0.70866141732283472" top="0.74803149606299213" bottom="0.74803149606299213" header="0.31496062992125984" footer="0.31496062992125984"/>
  <pageSetup scale="7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workbookViewId="0"/>
  </sheetViews>
  <sheetFormatPr baseColWidth="10" defaultColWidth="9.140625" defaultRowHeight="15" x14ac:dyDescent="0.25"/>
  <cols>
    <col min="1" max="1" width="25.140625" bestFit="1" customWidth="1"/>
    <col min="2" max="2" width="19.140625" bestFit="1" customWidth="1"/>
    <col min="3" max="4" width="13.42578125" customWidth="1"/>
    <col min="5" max="5" width="14.42578125" bestFit="1" customWidth="1"/>
    <col min="6" max="6" width="14.85546875" customWidth="1"/>
    <col min="7" max="7" width="17.140625" bestFit="1" customWidth="1"/>
    <col min="8" max="8" width="21.28515625" style="54" customWidth="1"/>
    <col min="11" max="11" width="14.140625" style="55" bestFit="1" customWidth="1"/>
    <col min="12" max="12" width="7.42578125" style="55" bestFit="1" customWidth="1"/>
  </cols>
  <sheetData>
    <row r="1" spans="1:12" ht="21" x14ac:dyDescent="0.35">
      <c r="A1" s="52" t="s">
        <v>84</v>
      </c>
      <c r="B1" s="53">
        <v>43141</v>
      </c>
    </row>
    <row r="4" spans="1:12" x14ac:dyDescent="0.25">
      <c r="A4" s="56" t="s">
        <v>14</v>
      </c>
      <c r="B4" s="56" t="s">
        <v>15</v>
      </c>
      <c r="C4" s="56" t="s">
        <v>16</v>
      </c>
      <c r="D4" s="57" t="s">
        <v>85</v>
      </c>
      <c r="E4" s="57" t="s">
        <v>86</v>
      </c>
      <c r="F4" s="57" t="s">
        <v>87</v>
      </c>
      <c r="G4" s="57" t="s">
        <v>150</v>
      </c>
      <c r="H4" s="58" t="s">
        <v>88</v>
      </c>
      <c r="I4" s="59" t="s">
        <v>89</v>
      </c>
    </row>
    <row r="5" spans="1:12" x14ac:dyDescent="0.25">
      <c r="A5" s="60" t="s">
        <v>47</v>
      </c>
      <c r="B5" s="61" t="s">
        <v>90</v>
      </c>
      <c r="C5" s="61"/>
      <c r="D5" s="62"/>
      <c r="E5" s="62"/>
      <c r="F5" s="62">
        <v>2.1863425925925925E-2</v>
      </c>
      <c r="G5" s="63">
        <f>VLOOKUP(A5,Ratings!$A$5:$D$50,4,0)</f>
        <v>62.4</v>
      </c>
      <c r="H5" s="64">
        <f>+F5*100/G5</f>
        <v>3.5037541547958212E-2</v>
      </c>
      <c r="I5" s="65">
        <v>1</v>
      </c>
      <c r="K5" s="66"/>
    </row>
    <row r="6" spans="1:12" x14ac:dyDescent="0.25">
      <c r="A6" s="61" t="s">
        <v>71</v>
      </c>
      <c r="B6" s="61" t="s">
        <v>91</v>
      </c>
      <c r="C6" s="61"/>
      <c r="D6" s="62"/>
      <c r="E6" s="62"/>
      <c r="F6" s="62">
        <v>3.9270833333333331E-2</v>
      </c>
      <c r="G6" s="63">
        <f>VLOOKUP(A6,Ratings!$A$5:$D$50,4,0)</f>
        <v>77.5</v>
      </c>
      <c r="H6" s="64">
        <f>+F6*100/G6</f>
        <v>5.0672043010752683E-2</v>
      </c>
      <c r="I6" s="65">
        <v>2</v>
      </c>
      <c r="K6" s="66"/>
    </row>
    <row r="7" spans="1:12" x14ac:dyDescent="0.25">
      <c r="A7" s="61" t="s">
        <v>73</v>
      </c>
      <c r="B7" s="61" t="s">
        <v>92</v>
      </c>
      <c r="C7" s="61" t="s">
        <v>93</v>
      </c>
      <c r="D7" s="62"/>
      <c r="E7" s="62"/>
      <c r="F7" s="62">
        <v>6.0347222222222219E-2</v>
      </c>
      <c r="G7" s="63">
        <f>VLOOKUP(A7,Ratings!$A$5:$D$50,4,0)</f>
        <v>100</v>
      </c>
      <c r="H7" s="64">
        <f>+F7*100/G7</f>
        <v>6.0347222222222212E-2</v>
      </c>
      <c r="I7" s="65">
        <v>3</v>
      </c>
      <c r="L7"/>
    </row>
    <row r="8" spans="1:12" x14ac:dyDescent="0.25">
      <c r="A8" s="67"/>
      <c r="B8" s="67"/>
      <c r="C8" s="67"/>
      <c r="D8" s="68"/>
      <c r="E8" s="68"/>
      <c r="F8" s="68"/>
      <c r="G8" s="68"/>
      <c r="H8" s="68"/>
      <c r="I8" s="68"/>
      <c r="L8"/>
    </row>
    <row r="9" spans="1:12" x14ac:dyDescent="0.25">
      <c r="A9" s="67"/>
      <c r="B9" s="67"/>
      <c r="C9" s="67"/>
      <c r="D9" s="68"/>
      <c r="E9" s="68"/>
      <c r="F9" s="68"/>
      <c r="G9" s="68"/>
      <c r="H9" s="68"/>
      <c r="I9" s="68"/>
      <c r="L9"/>
    </row>
    <row r="10" spans="1:12" x14ac:dyDescent="0.25">
      <c r="A10" s="67"/>
      <c r="B10" s="67"/>
      <c r="C10" s="67"/>
      <c r="D10" s="68"/>
      <c r="E10" s="68"/>
      <c r="F10" s="68"/>
      <c r="G10" s="68"/>
      <c r="H10" s="68"/>
      <c r="I10" s="68"/>
      <c r="L10"/>
    </row>
    <row r="11" spans="1:12" x14ac:dyDescent="0.25">
      <c r="A11" s="56" t="s">
        <v>14</v>
      </c>
      <c r="B11" s="56" t="s">
        <v>15</v>
      </c>
      <c r="C11" s="56" t="s">
        <v>16</v>
      </c>
      <c r="D11" s="57" t="s">
        <v>85</v>
      </c>
      <c r="E11" s="57" t="s">
        <v>86</v>
      </c>
      <c r="F11" s="57" t="s">
        <v>87</v>
      </c>
      <c r="G11" s="57" t="s">
        <v>151</v>
      </c>
      <c r="H11" s="58" t="s">
        <v>88</v>
      </c>
      <c r="I11" s="59" t="s">
        <v>89</v>
      </c>
      <c r="L11"/>
    </row>
    <row r="12" spans="1:12" x14ac:dyDescent="0.25">
      <c r="A12" s="61" t="s">
        <v>75</v>
      </c>
      <c r="B12" s="61" t="s">
        <v>128</v>
      </c>
      <c r="C12" s="61" t="s">
        <v>94</v>
      </c>
      <c r="D12" s="62"/>
      <c r="E12" s="62"/>
      <c r="F12" s="62">
        <v>7.1527777777777787E-2</v>
      </c>
      <c r="G12" s="63">
        <f>VLOOKUP(A12,Ratings!$A$46:$F$54,6,0)</f>
        <v>98.2</v>
      </c>
      <c r="H12" s="64">
        <f>+F12*100/G12</f>
        <v>7.2838877574111796E-2</v>
      </c>
      <c r="I12" s="65">
        <v>1</v>
      </c>
      <c r="K12" s="66"/>
      <c r="L12"/>
    </row>
    <row r="13" spans="1:12" x14ac:dyDescent="0.25">
      <c r="A13" s="61" t="s">
        <v>45</v>
      </c>
      <c r="B13" s="61" t="s">
        <v>114</v>
      </c>
      <c r="C13" s="61" t="s">
        <v>46</v>
      </c>
      <c r="D13" s="62"/>
      <c r="E13" s="62"/>
      <c r="F13" s="62">
        <v>7.5717592592592586E-2</v>
      </c>
      <c r="G13" s="63">
        <f>VLOOKUP(A13,Ratings!$A$46:$F$54,6,0)</f>
        <v>94.14</v>
      </c>
      <c r="H13" s="64">
        <f>+F13*100/G13</f>
        <v>8.0430839805175888E-2</v>
      </c>
      <c r="I13" s="65">
        <v>2</v>
      </c>
      <c r="K13" s="66"/>
      <c r="L13"/>
    </row>
    <row r="14" spans="1:12" x14ac:dyDescent="0.25">
      <c r="A14" s="61" t="s">
        <v>59</v>
      </c>
      <c r="B14" s="61" t="s">
        <v>95</v>
      </c>
      <c r="C14" s="61" t="s">
        <v>96</v>
      </c>
      <c r="D14" s="62"/>
      <c r="E14" s="62"/>
      <c r="F14" s="62">
        <v>7.4999999999999997E-2</v>
      </c>
      <c r="G14" s="63">
        <f>VLOOKUP(A14,Ratings!$A$46:$F$54,6,0)</f>
        <v>91.7</v>
      </c>
      <c r="H14" s="64">
        <f>+F14*100/G14</f>
        <v>8.1788440567066523E-2</v>
      </c>
      <c r="I14" s="65">
        <v>3</v>
      </c>
      <c r="L14"/>
    </row>
    <row r="15" spans="1:12" x14ac:dyDescent="0.25">
      <c r="A15" s="61" t="s">
        <v>27</v>
      </c>
      <c r="B15" s="61" t="s">
        <v>142</v>
      </c>
      <c r="C15" s="61" t="s">
        <v>143</v>
      </c>
      <c r="D15" s="62"/>
      <c r="E15" s="62"/>
      <c r="F15" s="62">
        <v>8.3958333333333343E-2</v>
      </c>
      <c r="G15" s="63">
        <f>VLOOKUP(A15,Ratings!$A$46:$F$54,6,0)</f>
        <v>98.74</v>
      </c>
      <c r="H15" s="64">
        <f>+F15*100/G15</f>
        <v>8.5029707649719816E-2</v>
      </c>
      <c r="I15" s="65">
        <v>4</v>
      </c>
      <c r="L15"/>
    </row>
    <row r="16" spans="1:12" x14ac:dyDescent="0.25">
      <c r="A16" s="61" t="s">
        <v>126</v>
      </c>
      <c r="B16" s="61" t="s">
        <v>82</v>
      </c>
      <c r="C16" s="61" t="s">
        <v>83</v>
      </c>
      <c r="D16" s="62"/>
      <c r="E16" s="62"/>
      <c r="F16" s="62">
        <v>7.9259259259259265E-2</v>
      </c>
      <c r="G16" s="63">
        <f>VLOOKUP(A16,Ratings!$A$46:$F$54,6,0)</f>
        <v>90.2</v>
      </c>
      <c r="H16" s="64">
        <f>+F16*100/G16</f>
        <v>8.7870575675453727E-2</v>
      </c>
      <c r="I16" s="65">
        <v>5</v>
      </c>
      <c r="L16"/>
    </row>
    <row r="17" spans="1:12" x14ac:dyDescent="0.25">
      <c r="A17" s="61" t="s">
        <v>56</v>
      </c>
      <c r="B17" s="61" t="s">
        <v>97</v>
      </c>
      <c r="C17" s="61" t="s">
        <v>98</v>
      </c>
      <c r="D17" s="62"/>
      <c r="E17" s="62"/>
      <c r="F17" s="62" t="s">
        <v>110</v>
      </c>
      <c r="G17" s="63">
        <f>VLOOKUP(A17,Ratings!$A$46:$F$54,6,0)</f>
        <v>124.14</v>
      </c>
      <c r="H17" s="62" t="s">
        <v>110</v>
      </c>
      <c r="I17" s="65">
        <v>6</v>
      </c>
      <c r="L17"/>
    </row>
    <row r="18" spans="1:12" x14ac:dyDescent="0.25">
      <c r="A18" s="61" t="s">
        <v>34</v>
      </c>
      <c r="B18" s="61" t="s">
        <v>100</v>
      </c>
      <c r="C18" s="61" t="s">
        <v>101</v>
      </c>
      <c r="D18" s="62"/>
      <c r="E18" s="62"/>
      <c r="F18" s="62" t="s">
        <v>110</v>
      </c>
      <c r="G18" s="63">
        <f>VLOOKUP(A18,Ratings!$A$46:$F$54,6,0)</f>
        <v>88.9</v>
      </c>
      <c r="H18" s="62" t="s">
        <v>110</v>
      </c>
      <c r="I18" s="65">
        <v>6</v>
      </c>
      <c r="L18"/>
    </row>
  </sheetData>
  <sortState ref="A12:I18">
    <sortCondition ref="H12"/>
  </sortState>
  <pageMargins left="0.70866141732283472" right="0.70866141732283472" top="0.74803149606299213" bottom="0.74803149606299213" header="0.31496062992125984" footer="0.31496062992125984"/>
  <pageSetup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G4" sqref="G4"/>
    </sheetView>
  </sheetViews>
  <sheetFormatPr baseColWidth="10" defaultColWidth="9.140625" defaultRowHeight="15" x14ac:dyDescent="0.25"/>
  <cols>
    <col min="1" max="1" width="25.140625" bestFit="1" customWidth="1"/>
    <col min="2" max="2" width="19.140625" bestFit="1" customWidth="1"/>
    <col min="3" max="4" width="13.42578125" customWidth="1"/>
    <col min="5" max="5" width="14.42578125" bestFit="1" customWidth="1"/>
    <col min="6" max="6" width="14.85546875" customWidth="1"/>
    <col min="7" max="7" width="17.140625" bestFit="1" customWidth="1"/>
    <col min="8" max="8" width="21.28515625" style="54" customWidth="1"/>
    <col min="11" max="11" width="14.140625" style="55" bestFit="1" customWidth="1"/>
    <col min="12" max="12" width="7.42578125" bestFit="1" customWidth="1"/>
  </cols>
  <sheetData>
    <row r="1" spans="1:11" ht="21" x14ac:dyDescent="0.35">
      <c r="A1" s="52" t="s">
        <v>84</v>
      </c>
      <c r="B1" s="53">
        <v>43142</v>
      </c>
    </row>
    <row r="4" spans="1:11" x14ac:dyDescent="0.25">
      <c r="A4" s="56" t="s">
        <v>14</v>
      </c>
      <c r="B4" s="56" t="s">
        <v>15</v>
      </c>
      <c r="C4" s="56" t="s">
        <v>16</v>
      </c>
      <c r="D4" s="57" t="s">
        <v>85</v>
      </c>
      <c r="E4" s="57" t="s">
        <v>86</v>
      </c>
      <c r="F4" s="57" t="s">
        <v>87</v>
      </c>
      <c r="G4" s="57" t="s">
        <v>150</v>
      </c>
      <c r="H4" s="58" t="s">
        <v>88</v>
      </c>
      <c r="I4" s="59" t="s">
        <v>89</v>
      </c>
    </row>
    <row r="5" spans="1:11" x14ac:dyDescent="0.25">
      <c r="A5" s="60" t="s">
        <v>47</v>
      </c>
      <c r="B5" s="61" t="s">
        <v>90</v>
      </c>
      <c r="C5" s="61"/>
      <c r="D5" s="62">
        <v>0.69791666666666663</v>
      </c>
      <c r="E5" s="62">
        <v>0.71643518518518512</v>
      </c>
      <c r="F5" s="62">
        <f t="shared" ref="F5:F10" si="0">+E5-D5</f>
        <v>1.851851851851849E-2</v>
      </c>
      <c r="G5" s="63">
        <f>VLOOKUP(A5,Ratings!$A$5:$D$50,4,0)</f>
        <v>62.4</v>
      </c>
      <c r="H5" s="64">
        <f t="shared" ref="H5:H10" si="1">+F5*100/G5</f>
        <v>2.9677113010446298E-2</v>
      </c>
      <c r="I5" s="65">
        <v>1</v>
      </c>
      <c r="K5" s="66"/>
    </row>
    <row r="6" spans="1:11" x14ac:dyDescent="0.25">
      <c r="A6" s="61" t="s">
        <v>102</v>
      </c>
      <c r="B6" s="61" t="s">
        <v>103</v>
      </c>
      <c r="C6" s="61"/>
      <c r="D6" s="62">
        <v>0.69791666666666663</v>
      </c>
      <c r="E6" s="62">
        <v>0.73232638888888879</v>
      </c>
      <c r="F6" s="62">
        <f t="shared" si="0"/>
        <v>3.4409722222222161E-2</v>
      </c>
      <c r="G6" s="63">
        <f>VLOOKUP(A6,Ratings!$A$5:$D$50,4,0)</f>
        <v>91.1</v>
      </c>
      <c r="H6" s="64">
        <f t="shared" si="1"/>
        <v>3.7771374557872849E-2</v>
      </c>
      <c r="I6" s="65">
        <v>2</v>
      </c>
      <c r="K6" s="66"/>
    </row>
    <row r="7" spans="1:11" x14ac:dyDescent="0.25">
      <c r="A7" s="61" t="s">
        <v>104</v>
      </c>
      <c r="B7" s="61" t="s">
        <v>105</v>
      </c>
      <c r="C7" s="61"/>
      <c r="D7" s="62">
        <v>0.69791666666666663</v>
      </c>
      <c r="E7" s="62">
        <v>0.73376157407407405</v>
      </c>
      <c r="F7" s="62">
        <f t="shared" si="0"/>
        <v>3.5844907407407423E-2</v>
      </c>
      <c r="G7" s="63">
        <f>VLOOKUP(A7,Ratings!$A$5:$D$50,4,0)</f>
        <v>91.9</v>
      </c>
      <c r="H7" s="64">
        <f t="shared" si="1"/>
        <v>3.9004251803490118E-2</v>
      </c>
      <c r="I7" s="65">
        <v>3</v>
      </c>
      <c r="K7" s="66"/>
    </row>
    <row r="8" spans="1:11" x14ac:dyDescent="0.25">
      <c r="A8" s="61" t="s">
        <v>64</v>
      </c>
      <c r="B8" s="61" t="s">
        <v>106</v>
      </c>
      <c r="C8" s="61"/>
      <c r="D8" s="62">
        <v>0.69791666666666663</v>
      </c>
      <c r="E8" s="62">
        <v>0.73762731481481481</v>
      </c>
      <c r="F8" s="62">
        <f t="shared" si="0"/>
        <v>3.9710648148148175E-2</v>
      </c>
      <c r="G8" s="63">
        <f>VLOOKUP(A8,Ratings!$A$5:$D$50,4,0)</f>
        <v>99.6</v>
      </c>
      <c r="H8" s="64">
        <f t="shared" si="1"/>
        <v>3.9870128662799376E-2</v>
      </c>
      <c r="I8" s="65">
        <v>4</v>
      </c>
    </row>
    <row r="9" spans="1:11" x14ac:dyDescent="0.25">
      <c r="A9" s="61" t="s">
        <v>67</v>
      </c>
      <c r="B9" s="61" t="s">
        <v>107</v>
      </c>
      <c r="C9" s="61"/>
      <c r="D9" s="62">
        <v>0.69791666666666663</v>
      </c>
      <c r="E9" s="62">
        <v>0.74086805555555557</v>
      </c>
      <c r="F9" s="62">
        <f t="shared" si="0"/>
        <v>4.2951388888888942E-2</v>
      </c>
      <c r="G9" s="63">
        <f>VLOOKUP(A9,Ratings!$A$5:$D$50,4,0)</f>
        <v>89.7</v>
      </c>
      <c r="H9" s="64">
        <f t="shared" si="1"/>
        <v>4.7883376687724577E-2</v>
      </c>
      <c r="I9" s="65">
        <v>5</v>
      </c>
    </row>
    <row r="10" spans="1:11" x14ac:dyDescent="0.25">
      <c r="A10" s="61" t="s">
        <v>73</v>
      </c>
      <c r="B10" s="61" t="s">
        <v>92</v>
      </c>
      <c r="C10" s="61" t="s">
        <v>93</v>
      </c>
      <c r="D10" s="62">
        <v>0.69791666666666663</v>
      </c>
      <c r="E10" s="62">
        <v>0.74894675925925924</v>
      </c>
      <c r="F10" s="62">
        <f t="shared" si="0"/>
        <v>5.1030092592592613E-2</v>
      </c>
      <c r="G10" s="63">
        <f>VLOOKUP(A10,Ratings!$A$5:$D$50,4,0)</f>
        <v>100</v>
      </c>
      <c r="H10" s="64">
        <f t="shared" si="1"/>
        <v>5.1030092592592613E-2</v>
      </c>
      <c r="I10" s="65">
        <v>6</v>
      </c>
    </row>
    <row r="11" spans="1:11" x14ac:dyDescent="0.25">
      <c r="A11" s="61" t="s">
        <v>108</v>
      </c>
      <c r="B11" s="61" t="s">
        <v>109</v>
      </c>
      <c r="C11" s="61"/>
      <c r="D11" s="62">
        <v>0.69791666666666663</v>
      </c>
      <c r="E11" s="62" t="s">
        <v>110</v>
      </c>
      <c r="F11" s="62" t="s">
        <v>110</v>
      </c>
      <c r="G11" s="63">
        <f>VLOOKUP(A11,Ratings!$A$5:$D$50,4,0)</f>
        <v>89.4</v>
      </c>
      <c r="H11" s="62" t="s">
        <v>110</v>
      </c>
      <c r="I11" s="65">
        <v>7</v>
      </c>
    </row>
    <row r="12" spans="1:11" x14ac:dyDescent="0.25">
      <c r="A12" s="67"/>
      <c r="B12" s="67"/>
      <c r="C12" s="67"/>
      <c r="D12" s="68"/>
      <c r="E12" s="68"/>
      <c r="F12" s="68"/>
      <c r="G12" s="68"/>
      <c r="H12" s="68"/>
      <c r="I12" s="68"/>
    </row>
    <row r="13" spans="1:11" x14ac:dyDescent="0.25">
      <c r="A13" s="67"/>
      <c r="B13" s="67"/>
      <c r="C13" s="67"/>
      <c r="D13" s="68"/>
      <c r="E13" s="68"/>
      <c r="F13" s="68"/>
      <c r="G13" s="68"/>
      <c r="H13" s="68"/>
      <c r="I13" s="68"/>
    </row>
    <row r="14" spans="1:11" x14ac:dyDescent="0.25">
      <c r="A14" s="67"/>
      <c r="B14" s="67"/>
      <c r="C14" s="67"/>
      <c r="D14" s="68"/>
      <c r="E14" s="68"/>
      <c r="F14" s="68"/>
      <c r="G14" s="68"/>
      <c r="H14" s="68"/>
      <c r="I14" s="68"/>
    </row>
    <row r="15" spans="1:11" x14ac:dyDescent="0.25">
      <c r="A15" s="56" t="s">
        <v>14</v>
      </c>
      <c r="B15" s="56" t="s">
        <v>15</v>
      </c>
      <c r="C15" s="56" t="s">
        <v>16</v>
      </c>
      <c r="D15" s="57" t="s">
        <v>85</v>
      </c>
      <c r="E15" s="57" t="s">
        <v>86</v>
      </c>
      <c r="F15" s="57" t="s">
        <v>87</v>
      </c>
      <c r="G15" s="57" t="s">
        <v>151</v>
      </c>
      <c r="H15" s="58" t="s">
        <v>88</v>
      </c>
      <c r="I15" s="59" t="s">
        <v>89</v>
      </c>
    </row>
    <row r="16" spans="1:11" x14ac:dyDescent="0.25">
      <c r="A16" s="61" t="s">
        <v>75</v>
      </c>
      <c r="B16" s="61" t="s">
        <v>128</v>
      </c>
      <c r="C16" s="61" t="s">
        <v>94</v>
      </c>
      <c r="D16" s="62">
        <v>0.70138888888888884</v>
      </c>
      <c r="E16" s="62">
        <v>0.74664351851851851</v>
      </c>
      <c r="F16" s="62">
        <f>+E16-D16</f>
        <v>4.5254629629629672E-2</v>
      </c>
      <c r="G16" s="63">
        <f>VLOOKUP(A16,Ratings!$A$46:$F$54,6,0)</f>
        <v>98.2</v>
      </c>
      <c r="H16" s="64">
        <f>+F16*100/G16</f>
        <v>4.6084144225692132E-2</v>
      </c>
      <c r="I16" s="65">
        <v>1</v>
      </c>
      <c r="K16" s="66"/>
    </row>
    <row r="17" spans="1:9" x14ac:dyDescent="0.25">
      <c r="A17" s="61" t="s">
        <v>127</v>
      </c>
      <c r="B17" s="61" t="s">
        <v>111</v>
      </c>
      <c r="C17" s="61" t="s">
        <v>42</v>
      </c>
      <c r="D17" s="62">
        <v>0.70138888888888884</v>
      </c>
      <c r="E17" s="62">
        <v>0.75771990740740736</v>
      </c>
      <c r="F17" s="62">
        <f>+E17-D17</f>
        <v>5.6331018518518516E-2</v>
      </c>
      <c r="G17" s="63">
        <f>VLOOKUP(A17,Ratings!$A$46:$F$54,6,0)</f>
        <v>109.14</v>
      </c>
      <c r="H17" s="64">
        <f>+F17*100/G17</f>
        <v>5.1613540881911772E-2</v>
      </c>
      <c r="I17" s="65">
        <v>2</v>
      </c>
    </row>
    <row r="18" spans="1:9" x14ac:dyDescent="0.25">
      <c r="A18" s="61" t="s">
        <v>126</v>
      </c>
      <c r="B18" s="61" t="s">
        <v>82</v>
      </c>
      <c r="C18" s="61" t="s">
        <v>83</v>
      </c>
      <c r="D18" s="62">
        <v>0.70138888888888884</v>
      </c>
      <c r="E18" s="62">
        <v>0.75364583333333324</v>
      </c>
      <c r="F18" s="62">
        <f>+E18-D18</f>
        <v>5.2256944444444398E-2</v>
      </c>
      <c r="G18" s="63">
        <f>VLOOKUP(A18,Ratings!$A$46:$F$54,6,0)</f>
        <v>90.2</v>
      </c>
      <c r="H18" s="64">
        <f>+F18*100/G18</f>
        <v>5.7934528208918395E-2</v>
      </c>
      <c r="I18" s="65">
        <v>3</v>
      </c>
    </row>
    <row r="19" spans="1:9" x14ac:dyDescent="0.25">
      <c r="A19" s="61" t="s">
        <v>99</v>
      </c>
      <c r="B19" s="61" t="s">
        <v>100</v>
      </c>
      <c r="C19" s="61" t="s">
        <v>101</v>
      </c>
      <c r="D19" s="62">
        <v>0.70138888888888884</v>
      </c>
      <c r="E19" s="62" t="s">
        <v>110</v>
      </c>
      <c r="F19" s="62" t="s">
        <v>110</v>
      </c>
      <c r="G19" s="63">
        <f>VLOOKUP(A19,Ratings!$A$46:$F$54,6,0)</f>
        <v>88.9</v>
      </c>
      <c r="H19" s="62" t="s">
        <v>110</v>
      </c>
      <c r="I19" s="65">
        <v>4</v>
      </c>
    </row>
  </sheetData>
  <sortState ref="A5:I11">
    <sortCondition ref="H5"/>
  </sortState>
  <pageMargins left="0.70866141732283472" right="0.70866141732283472" top="0.74803149606299213" bottom="0.74803149606299213" header="0.31496062992125984" footer="0.31496062992125984"/>
  <pageSetup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A9" sqref="A9:G9"/>
    </sheetView>
  </sheetViews>
  <sheetFormatPr baseColWidth="10" defaultColWidth="9.140625" defaultRowHeight="15" x14ac:dyDescent="0.25"/>
  <cols>
    <col min="1" max="1" width="25.140625" bestFit="1" customWidth="1"/>
    <col min="2" max="2" width="19.140625" bestFit="1" customWidth="1"/>
    <col min="3" max="4" width="13.42578125" customWidth="1"/>
    <col min="5" max="5" width="14.42578125" bestFit="1" customWidth="1"/>
    <col min="6" max="6" width="14.85546875" customWidth="1"/>
    <col min="7" max="7" width="17.140625" bestFit="1" customWidth="1"/>
    <col min="8" max="8" width="21.28515625" style="54" customWidth="1"/>
    <col min="11" max="11" width="14.140625" style="55" bestFit="1" customWidth="1"/>
    <col min="12" max="12" width="7.42578125" bestFit="1" customWidth="1"/>
  </cols>
  <sheetData>
    <row r="1" spans="1:11" ht="21" x14ac:dyDescent="0.35">
      <c r="A1" s="52" t="s">
        <v>84</v>
      </c>
      <c r="B1" s="53">
        <v>43144</v>
      </c>
    </row>
    <row r="4" spans="1:11" x14ac:dyDescent="0.25">
      <c r="A4" s="56" t="s">
        <v>14</v>
      </c>
      <c r="B4" s="56" t="s">
        <v>15</v>
      </c>
      <c r="C4" s="56" t="s">
        <v>16</v>
      </c>
      <c r="D4" s="57" t="s">
        <v>85</v>
      </c>
      <c r="E4" s="57" t="s">
        <v>86</v>
      </c>
      <c r="F4" s="57" t="s">
        <v>87</v>
      </c>
      <c r="G4" s="57" t="s">
        <v>150</v>
      </c>
      <c r="H4" s="58" t="s">
        <v>88</v>
      </c>
      <c r="I4" s="59" t="s">
        <v>89</v>
      </c>
    </row>
    <row r="5" spans="1:11" s="55" customFormat="1" x14ac:dyDescent="0.25">
      <c r="A5" s="61" t="s">
        <v>112</v>
      </c>
      <c r="B5" s="61" t="s">
        <v>113</v>
      </c>
      <c r="C5" s="61"/>
      <c r="D5" s="62"/>
      <c r="E5" s="62"/>
      <c r="F5" s="62">
        <v>3.2986111111111112E-2</v>
      </c>
      <c r="G5" s="63">
        <f>VLOOKUP(A5,Ratings!$A$5:$D$50,4,0)</f>
        <v>96.7</v>
      </c>
      <c r="H5" s="64">
        <f t="shared" ref="H5:H16" si="0">+F5*100/G5</f>
        <v>3.4111800528553372E-2</v>
      </c>
      <c r="I5" s="65">
        <v>1</v>
      </c>
      <c r="J5"/>
      <c r="K5" s="66"/>
    </row>
    <row r="6" spans="1:11" s="55" customFormat="1" x14ac:dyDescent="0.25">
      <c r="A6" s="61" t="s">
        <v>45</v>
      </c>
      <c r="B6" s="61" t="s">
        <v>114</v>
      </c>
      <c r="C6" s="61" t="s">
        <v>46</v>
      </c>
      <c r="D6" s="62"/>
      <c r="E6" s="62"/>
      <c r="F6" s="62">
        <v>3.5543981481481475E-2</v>
      </c>
      <c r="G6" s="63">
        <f>VLOOKUP(A6,Ratings!$A$5:$D$50,4,0)</f>
        <v>88</v>
      </c>
      <c r="H6" s="64">
        <f t="shared" si="0"/>
        <v>4.0390888047138036E-2</v>
      </c>
      <c r="I6" s="65">
        <v>2</v>
      </c>
      <c r="J6"/>
      <c r="K6" s="66"/>
    </row>
    <row r="7" spans="1:11" s="55" customFormat="1" x14ac:dyDescent="0.25">
      <c r="A7" s="61" t="s">
        <v>104</v>
      </c>
      <c r="B7" s="61" t="s">
        <v>105</v>
      </c>
      <c r="C7" s="61"/>
      <c r="D7" s="62"/>
      <c r="E7" s="62"/>
      <c r="F7" s="62">
        <v>3.7395833333333336E-2</v>
      </c>
      <c r="G7" s="63">
        <f>VLOOKUP(A7,Ratings!$A$5:$D$50,4,0)</f>
        <v>91.9</v>
      </c>
      <c r="H7" s="64">
        <f t="shared" si="0"/>
        <v>4.0691875226695685E-2</v>
      </c>
      <c r="I7" s="65">
        <v>3</v>
      </c>
      <c r="J7"/>
    </row>
    <row r="8" spans="1:11" s="55" customFormat="1" x14ac:dyDescent="0.25">
      <c r="A8" s="61" t="s">
        <v>102</v>
      </c>
      <c r="B8" s="61" t="s">
        <v>115</v>
      </c>
      <c r="C8" s="61"/>
      <c r="D8" s="62"/>
      <c r="E8" s="62"/>
      <c r="F8" s="62">
        <v>3.8090277777777778E-2</v>
      </c>
      <c r="G8" s="63">
        <f>VLOOKUP(A8,Ratings!$A$5:$D$50,4,0)</f>
        <v>91.1</v>
      </c>
      <c r="H8" s="64">
        <f t="shared" si="0"/>
        <v>4.1811501402610078E-2</v>
      </c>
      <c r="I8" s="65">
        <v>4</v>
      </c>
      <c r="J8"/>
    </row>
    <row r="9" spans="1:11" s="55" customFormat="1" x14ac:dyDescent="0.25">
      <c r="A9" s="61" t="s">
        <v>127</v>
      </c>
      <c r="B9" s="61" t="s">
        <v>111</v>
      </c>
      <c r="C9" s="61" t="s">
        <v>42</v>
      </c>
      <c r="D9" s="62"/>
      <c r="E9" s="62"/>
      <c r="F9" s="62">
        <v>4.8310185185185185E-2</v>
      </c>
      <c r="G9" s="63">
        <f>VLOOKUP(A9,Ratings!$A$5:$D$50,4,0)</f>
        <v>103</v>
      </c>
      <c r="H9" s="64">
        <f t="shared" si="0"/>
        <v>4.6903092412801148E-2</v>
      </c>
      <c r="I9" s="65">
        <v>5</v>
      </c>
      <c r="J9"/>
    </row>
    <row r="10" spans="1:11" s="55" customFormat="1" x14ac:dyDescent="0.25">
      <c r="A10" s="61" t="s">
        <v>64</v>
      </c>
      <c r="B10" s="61" t="s">
        <v>106</v>
      </c>
      <c r="C10" s="61"/>
      <c r="D10" s="62"/>
      <c r="E10" s="62"/>
      <c r="F10" s="62">
        <v>4.8634259259259259E-2</v>
      </c>
      <c r="G10" s="63">
        <f>VLOOKUP(A10,Ratings!$A$5:$D$50,4,0)</f>
        <v>99.6</v>
      </c>
      <c r="H10" s="64">
        <f t="shared" si="0"/>
        <v>4.8829577569537409E-2</v>
      </c>
      <c r="I10" s="65">
        <v>6</v>
      </c>
      <c r="J10"/>
    </row>
    <row r="11" spans="1:11" s="55" customFormat="1" x14ac:dyDescent="0.25">
      <c r="A11" s="61" t="s">
        <v>38</v>
      </c>
      <c r="B11" s="61" t="s">
        <v>116</v>
      </c>
      <c r="C11" s="61" t="s">
        <v>117</v>
      </c>
      <c r="D11" s="62"/>
      <c r="E11" s="62"/>
      <c r="F11" s="62">
        <v>4.1736111111111113E-2</v>
      </c>
      <c r="G11" s="63">
        <f>VLOOKUP(A11,Ratings!$A$5:$D$50,4,0)</f>
        <v>80.8</v>
      </c>
      <c r="H11" s="64">
        <f t="shared" si="0"/>
        <v>5.1653602860286037E-2</v>
      </c>
      <c r="I11" s="65">
        <v>7</v>
      </c>
      <c r="J11"/>
      <c r="K11" s="66"/>
    </row>
    <row r="12" spans="1:11" x14ac:dyDescent="0.25">
      <c r="A12" s="61" t="s">
        <v>71</v>
      </c>
      <c r="B12" s="61" t="s">
        <v>91</v>
      </c>
      <c r="C12" s="61"/>
      <c r="D12" s="62"/>
      <c r="E12" s="62"/>
      <c r="F12" s="62">
        <v>4.2291666666666665E-2</v>
      </c>
      <c r="G12" s="63">
        <f>VLOOKUP(A12,Ratings!$A$5:$D$50,4,0)</f>
        <v>77.5</v>
      </c>
      <c r="H12" s="64">
        <f t="shared" si="0"/>
        <v>5.4569892473118269E-2</v>
      </c>
      <c r="I12" s="65">
        <v>8</v>
      </c>
    </row>
    <row r="13" spans="1:11" x14ac:dyDescent="0.25">
      <c r="A13" s="61" t="s">
        <v>118</v>
      </c>
      <c r="B13" s="61" t="s">
        <v>97</v>
      </c>
      <c r="C13" s="61" t="s">
        <v>98</v>
      </c>
      <c r="D13" s="62"/>
      <c r="E13" s="62"/>
      <c r="F13" s="62">
        <v>6.5798611111111113E-2</v>
      </c>
      <c r="G13" s="63">
        <f>VLOOKUP(A13,Ratings!$A$5:$D$50,4,0)</f>
        <v>118</v>
      </c>
      <c r="H13" s="64">
        <f t="shared" si="0"/>
        <v>5.5761534839924673E-2</v>
      </c>
      <c r="I13" s="65">
        <v>9</v>
      </c>
    </row>
    <row r="14" spans="1:11" x14ac:dyDescent="0.25">
      <c r="A14" s="61" t="s">
        <v>102</v>
      </c>
      <c r="B14" s="61" t="s">
        <v>119</v>
      </c>
      <c r="C14" s="61"/>
      <c r="D14" s="62"/>
      <c r="E14" s="62"/>
      <c r="F14" s="62">
        <v>5.1203703703703703E-2</v>
      </c>
      <c r="G14" s="63">
        <f>VLOOKUP(A14,Ratings!$A$5:$D$50,4,0)</f>
        <v>91.1</v>
      </c>
      <c r="H14" s="64">
        <f t="shared" si="0"/>
        <v>5.6206041387161038E-2</v>
      </c>
      <c r="I14" s="65">
        <v>10</v>
      </c>
    </row>
    <row r="15" spans="1:11" x14ac:dyDescent="0.25">
      <c r="A15" s="61" t="s">
        <v>38</v>
      </c>
      <c r="B15" s="61" t="s">
        <v>120</v>
      </c>
      <c r="C15" s="61"/>
      <c r="D15" s="62"/>
      <c r="E15" s="62"/>
      <c r="F15" s="62">
        <v>4.5810185185185183E-2</v>
      </c>
      <c r="G15" s="63">
        <f>VLOOKUP(A15,Ratings!$A$5:$D$50,4,0)</f>
        <v>80.8</v>
      </c>
      <c r="H15" s="64">
        <f t="shared" si="0"/>
        <v>5.669577374404107E-2</v>
      </c>
      <c r="I15" s="65">
        <v>11</v>
      </c>
    </row>
    <row r="16" spans="1:11" x14ac:dyDescent="0.25">
      <c r="A16" s="61" t="s">
        <v>73</v>
      </c>
      <c r="B16" s="61" t="s">
        <v>92</v>
      </c>
      <c r="C16" s="61" t="s">
        <v>93</v>
      </c>
      <c r="D16" s="62"/>
      <c r="E16" s="62"/>
      <c r="F16" s="62">
        <v>6.7233796296296292E-2</v>
      </c>
      <c r="G16" s="63">
        <f>VLOOKUP(A16,Ratings!$A$5:$D$50,4,0)</f>
        <v>100</v>
      </c>
      <c r="H16" s="64">
        <f t="shared" si="0"/>
        <v>6.7233796296296292E-2</v>
      </c>
      <c r="I16" s="65">
        <v>12</v>
      </c>
    </row>
    <row r="17" spans="1:9" x14ac:dyDescent="0.25">
      <c r="A17" s="61" t="s">
        <v>121</v>
      </c>
      <c r="B17" s="61" t="s">
        <v>122</v>
      </c>
      <c r="C17" s="61" t="s">
        <v>123</v>
      </c>
      <c r="D17" s="62"/>
      <c r="E17" s="62"/>
      <c r="F17" s="62" t="s">
        <v>110</v>
      </c>
      <c r="G17" s="63">
        <f>VLOOKUP(A17,Ratings!$A$5:$D$50,4,0)</f>
        <v>102.9</v>
      </c>
      <c r="H17" s="64" t="s">
        <v>110</v>
      </c>
      <c r="I17" s="65">
        <v>13</v>
      </c>
    </row>
  </sheetData>
  <sortState ref="A5:I17">
    <sortCondition ref="H5"/>
  </sortState>
  <pageMargins left="0.70866141732283472" right="0.70866141732283472" top="0.74803149606299213" bottom="0.74803149606299213" header="0.31496062992125984" footer="0.31496062992125984"/>
  <pageSetup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heetViews>
  <sheetFormatPr baseColWidth="10" defaultColWidth="9.140625" defaultRowHeight="15" x14ac:dyDescent="0.25"/>
  <cols>
    <col min="1" max="1" width="25.140625" bestFit="1" customWidth="1"/>
    <col min="2" max="2" width="22.7109375" bestFit="1" customWidth="1"/>
    <col min="3" max="4" width="13.42578125" customWidth="1"/>
    <col min="5" max="5" width="14.42578125" bestFit="1" customWidth="1"/>
    <col min="6" max="6" width="14.85546875" customWidth="1"/>
    <col min="7" max="7" width="17.140625" bestFit="1" customWidth="1"/>
    <col min="8" max="8" width="21.28515625" style="54" customWidth="1"/>
    <col min="10" max="10" width="11" bestFit="1" customWidth="1"/>
    <col min="11" max="11" width="14.140625" style="55" bestFit="1" customWidth="1"/>
    <col min="12" max="12" width="7.42578125" bestFit="1" customWidth="1"/>
  </cols>
  <sheetData>
    <row r="1" spans="1:11" ht="21" x14ac:dyDescent="0.35">
      <c r="A1" s="52" t="s">
        <v>84</v>
      </c>
      <c r="B1" s="53">
        <v>43148</v>
      </c>
    </row>
    <row r="2" spans="1:11" x14ac:dyDescent="0.25">
      <c r="A2" s="4" t="s">
        <v>139</v>
      </c>
    </row>
    <row r="4" spans="1:11" x14ac:dyDescent="0.25">
      <c r="A4" s="56" t="s">
        <v>14</v>
      </c>
      <c r="B4" s="56" t="s">
        <v>15</v>
      </c>
      <c r="C4" s="56" t="s">
        <v>16</v>
      </c>
      <c r="D4" s="57" t="s">
        <v>85</v>
      </c>
      <c r="E4" s="57" t="s">
        <v>86</v>
      </c>
      <c r="F4" s="57" t="s">
        <v>87</v>
      </c>
      <c r="G4" s="57" t="s">
        <v>150</v>
      </c>
      <c r="H4" s="58" t="s">
        <v>88</v>
      </c>
      <c r="I4" s="59" t="s">
        <v>89</v>
      </c>
      <c r="J4" s="59" t="s">
        <v>147</v>
      </c>
    </row>
    <row r="5" spans="1:11" s="55" customFormat="1" x14ac:dyDescent="0.25">
      <c r="A5" s="61" t="s">
        <v>112</v>
      </c>
      <c r="B5" s="61" t="s">
        <v>113</v>
      </c>
      <c r="C5" s="61"/>
      <c r="D5" s="62"/>
      <c r="E5" s="62"/>
      <c r="F5" s="80">
        <v>4.1550925925925929E-2</v>
      </c>
      <c r="G5" s="63">
        <f>VLOOKUP(A5,Ratings!$A$5:$D$50,4,0)</f>
        <v>96.7</v>
      </c>
      <c r="H5" s="64">
        <f t="shared" ref="H5:H14" si="0">+F5*100/G5</f>
        <v>4.2968899613160208E-2</v>
      </c>
      <c r="I5" s="65">
        <v>1</v>
      </c>
      <c r="J5" s="65">
        <v>0</v>
      </c>
      <c r="K5" s="66"/>
    </row>
    <row r="6" spans="1:11" s="55" customFormat="1" x14ac:dyDescent="0.25">
      <c r="A6" s="61" t="s">
        <v>104</v>
      </c>
      <c r="B6" s="61" t="s">
        <v>105</v>
      </c>
      <c r="C6" s="61"/>
      <c r="D6" s="62"/>
      <c r="E6" s="62"/>
      <c r="F6" s="80">
        <v>4.3854166666666666E-2</v>
      </c>
      <c r="G6" s="63">
        <f>VLOOKUP(A6,Ratings!$A$5:$D$50,4,0)</f>
        <v>91.9</v>
      </c>
      <c r="H6" s="64">
        <f t="shared" si="0"/>
        <v>4.7719441421835332E-2</v>
      </c>
      <c r="I6" s="65">
        <v>2</v>
      </c>
      <c r="J6" s="65">
        <v>1</v>
      </c>
      <c r="K6" s="66"/>
    </row>
    <row r="7" spans="1:11" s="55" customFormat="1" x14ac:dyDescent="0.25">
      <c r="A7" s="61" t="s">
        <v>132</v>
      </c>
      <c r="B7" s="61" t="s">
        <v>134</v>
      </c>
      <c r="C7" s="61"/>
      <c r="D7" s="62"/>
      <c r="E7" s="62"/>
      <c r="F7" s="80">
        <v>3.0451388888888889E-2</v>
      </c>
      <c r="G7" s="63">
        <f>VLOOKUP(A7,Ratings!$A$5:$D$50,4,0)</f>
        <v>62.4</v>
      </c>
      <c r="H7" s="64">
        <f t="shared" si="0"/>
        <v>4.8800302706552709E-2</v>
      </c>
      <c r="I7" s="65">
        <v>3</v>
      </c>
      <c r="J7" s="65">
        <v>2</v>
      </c>
    </row>
    <row r="8" spans="1:11" s="55" customFormat="1" x14ac:dyDescent="0.25">
      <c r="A8" s="61" t="s">
        <v>121</v>
      </c>
      <c r="B8" s="61" t="s">
        <v>133</v>
      </c>
      <c r="C8" s="61" t="s">
        <v>123</v>
      </c>
      <c r="D8" s="62"/>
      <c r="E8" s="62"/>
      <c r="F8" s="80">
        <v>5.1087962962962967E-2</v>
      </c>
      <c r="G8" s="63">
        <f>VLOOKUP(A8,Ratings!$A$5:$D$50,4,0)</f>
        <v>102.9</v>
      </c>
      <c r="H8" s="64">
        <f t="shared" si="0"/>
        <v>4.9648166144764784E-2</v>
      </c>
      <c r="I8" s="65">
        <v>4</v>
      </c>
      <c r="J8" s="65">
        <v>1</v>
      </c>
      <c r="K8" s="66"/>
    </row>
    <row r="9" spans="1:11" s="55" customFormat="1" x14ac:dyDescent="0.25">
      <c r="A9" s="61" t="s">
        <v>108</v>
      </c>
      <c r="B9" s="61" t="s">
        <v>109</v>
      </c>
      <c r="C9" s="61"/>
      <c r="D9" s="62"/>
      <c r="E9" s="62"/>
      <c r="F9" s="80">
        <v>4.5694444444444447E-2</v>
      </c>
      <c r="G9" s="63">
        <f>VLOOKUP(A9,Ratings!$A$5:$D$50,4,0)</f>
        <v>89.4</v>
      </c>
      <c r="H9" s="64">
        <f t="shared" si="0"/>
        <v>5.1112353964702956E-2</v>
      </c>
      <c r="I9" s="65">
        <v>5</v>
      </c>
      <c r="J9" s="65">
        <v>0</v>
      </c>
      <c r="K9" s="66"/>
    </row>
    <row r="10" spans="1:11" s="55" customFormat="1" x14ac:dyDescent="0.25">
      <c r="A10" s="61" t="s">
        <v>102</v>
      </c>
      <c r="B10" s="61" t="s">
        <v>119</v>
      </c>
      <c r="C10" s="61"/>
      <c r="D10" s="62"/>
      <c r="E10" s="62"/>
      <c r="F10" s="80">
        <v>5.136574074074074E-2</v>
      </c>
      <c r="G10" s="63">
        <f>VLOOKUP(A10,Ratings!$A$5:$D$50,4,0)</f>
        <v>91.1</v>
      </c>
      <c r="H10" s="64">
        <f t="shared" si="0"/>
        <v>5.6383908606740668E-2</v>
      </c>
      <c r="I10" s="65">
        <v>6</v>
      </c>
      <c r="J10" s="65">
        <v>1</v>
      </c>
      <c r="K10" s="66"/>
    </row>
    <row r="11" spans="1:11" s="55" customFormat="1" x14ac:dyDescent="0.25">
      <c r="A11" s="61" t="s">
        <v>138</v>
      </c>
      <c r="B11" s="61" t="s">
        <v>107</v>
      </c>
      <c r="C11" s="61"/>
      <c r="D11" s="62"/>
      <c r="E11" s="62"/>
      <c r="F11" s="80">
        <v>6.4490740740740737E-2</v>
      </c>
      <c r="G11" s="63">
        <f>VLOOKUP(A11,Ratings!$A$5:$D$50,4,0)</f>
        <v>110</v>
      </c>
      <c r="H11" s="64">
        <f t="shared" si="0"/>
        <v>5.8627946127946126E-2</v>
      </c>
      <c r="I11" s="65">
        <v>7</v>
      </c>
      <c r="J11" s="65">
        <v>0</v>
      </c>
      <c r="K11" s="66"/>
    </row>
    <row r="12" spans="1:11" x14ac:dyDescent="0.25">
      <c r="A12" s="61" t="s">
        <v>102</v>
      </c>
      <c r="B12" s="61" t="s">
        <v>135</v>
      </c>
      <c r="C12" s="61"/>
      <c r="D12" s="62"/>
      <c r="E12" s="62"/>
      <c r="F12" s="80">
        <v>5.3553240740740742E-2</v>
      </c>
      <c r="G12" s="63">
        <f>VLOOKUP(A12,Ratings!$A$5:$D$50,4,0)</f>
        <v>91.1</v>
      </c>
      <c r="H12" s="64">
        <f t="shared" si="0"/>
        <v>5.8785116071065582E-2</v>
      </c>
      <c r="I12" s="65">
        <v>8</v>
      </c>
      <c r="J12" s="65">
        <v>1</v>
      </c>
    </row>
    <row r="13" spans="1:11" x14ac:dyDescent="0.25">
      <c r="A13" s="61" t="s">
        <v>64</v>
      </c>
      <c r="B13" s="61" t="s">
        <v>136</v>
      </c>
      <c r="C13" s="61"/>
      <c r="D13" s="62"/>
      <c r="E13" s="62"/>
      <c r="F13" s="80">
        <v>6.7847222222222225E-2</v>
      </c>
      <c r="G13" s="63">
        <f>VLOOKUP(A13,Ratings!$A$5:$D$50,4,0)</f>
        <v>99.6</v>
      </c>
      <c r="H13" s="64">
        <f t="shared" si="0"/>
        <v>6.8119701026327542E-2</v>
      </c>
      <c r="I13" s="65">
        <v>9</v>
      </c>
      <c r="J13" s="65">
        <v>1</v>
      </c>
    </row>
    <row r="14" spans="1:11" x14ac:dyDescent="0.25">
      <c r="A14" s="61" t="s">
        <v>71</v>
      </c>
      <c r="B14" s="61" t="s">
        <v>137</v>
      </c>
      <c r="C14" s="61"/>
      <c r="D14" s="62"/>
      <c r="E14" s="62"/>
      <c r="F14" s="80">
        <v>6.6342592592592592E-2</v>
      </c>
      <c r="G14" s="63">
        <f>VLOOKUP(A14,Ratings!$A$5:$D$50,4,0)</f>
        <v>77.5</v>
      </c>
      <c r="H14" s="64">
        <f t="shared" si="0"/>
        <v>8.5603345280764645E-2</v>
      </c>
      <c r="I14" s="65">
        <v>10</v>
      </c>
      <c r="J14" s="65">
        <v>1</v>
      </c>
    </row>
    <row r="16" spans="1:11" x14ac:dyDescent="0.25">
      <c r="A16" s="4" t="s">
        <v>140</v>
      </c>
    </row>
    <row r="17" spans="1:23" x14ac:dyDescent="0.25">
      <c r="A17" s="4"/>
    </row>
    <row r="18" spans="1:23" x14ac:dyDescent="0.25">
      <c r="A18" s="56" t="s">
        <v>14</v>
      </c>
      <c r="B18" s="56" t="s">
        <v>15</v>
      </c>
      <c r="C18" s="56" t="s">
        <v>16</v>
      </c>
      <c r="D18" s="57" t="s">
        <v>85</v>
      </c>
      <c r="E18" s="57" t="s">
        <v>86</v>
      </c>
      <c r="F18" s="57" t="s">
        <v>87</v>
      </c>
      <c r="G18" s="57" t="s">
        <v>151</v>
      </c>
      <c r="H18" s="58" t="s">
        <v>88</v>
      </c>
      <c r="I18" s="59" t="s">
        <v>89</v>
      </c>
      <c r="J18" s="59" t="s">
        <v>147</v>
      </c>
      <c r="L18" s="55" t="s">
        <v>149</v>
      </c>
      <c r="M18" s="55"/>
      <c r="P18" s="87" t="s">
        <v>145</v>
      </c>
      <c r="R18" t="s">
        <v>146</v>
      </c>
      <c r="S18" t="s">
        <v>154</v>
      </c>
      <c r="U18" s="57" t="s">
        <v>150</v>
      </c>
    </row>
    <row r="19" spans="1:23" s="55" customFormat="1" x14ac:dyDescent="0.25">
      <c r="A19" s="61" t="s">
        <v>75</v>
      </c>
      <c r="B19" s="61" t="s">
        <v>128</v>
      </c>
      <c r="C19" s="61" t="s">
        <v>94</v>
      </c>
      <c r="D19" s="62"/>
      <c r="E19" s="62"/>
      <c r="F19" s="62">
        <v>5.5381944444444442E-2</v>
      </c>
      <c r="G19" s="63">
        <f>VLOOKUP(A19,Ratings!$A$46:$F$54,6,0)</f>
        <v>98.2</v>
      </c>
      <c r="H19" s="64">
        <f t="shared" ref="H19:H20" si="1">+F19*100/G19</f>
        <v>5.6397092102285586E-2</v>
      </c>
      <c r="I19" s="65">
        <v>1</v>
      </c>
      <c r="J19" s="65">
        <v>4</v>
      </c>
      <c r="L19" s="86">
        <f t="shared" ref="L19:L27" si="2">G19-U19</f>
        <v>4.7999999999999972</v>
      </c>
      <c r="P19" s="87" t="s">
        <v>94</v>
      </c>
      <c r="R19" s="64">
        <f t="shared" ref="R19:R27" si="3">F19/G19*100</f>
        <v>5.6397092102285579E-2</v>
      </c>
      <c r="S19" s="61" t="s">
        <v>94</v>
      </c>
      <c r="U19" s="63">
        <f>VLOOKUP(A19,Ratings!$A$5:$D$50,4,0)</f>
        <v>93.4</v>
      </c>
    </row>
    <row r="20" spans="1:23" s="55" customFormat="1" x14ac:dyDescent="0.25">
      <c r="A20" s="61" t="s">
        <v>126</v>
      </c>
      <c r="B20" s="61" t="s">
        <v>141</v>
      </c>
      <c r="C20" s="61" t="s">
        <v>83</v>
      </c>
      <c r="D20" s="62"/>
      <c r="E20" s="62"/>
      <c r="F20" s="62">
        <v>5.1041666666666673E-2</v>
      </c>
      <c r="G20" s="63">
        <f>VLOOKUP(A20,Ratings!$A$46:$F$54,6,0)</f>
        <v>90.2</v>
      </c>
      <c r="H20" s="64">
        <f t="shared" si="1"/>
        <v>5.6587213599408721E-2</v>
      </c>
      <c r="I20" s="65">
        <v>2</v>
      </c>
      <c r="J20" s="65">
        <v>3</v>
      </c>
      <c r="L20" s="86">
        <f t="shared" si="2"/>
        <v>9.4000000000000057</v>
      </c>
      <c r="P20" s="87" t="s">
        <v>96</v>
      </c>
      <c r="R20" s="64">
        <f t="shared" si="3"/>
        <v>5.6587213599408721E-2</v>
      </c>
      <c r="S20" s="61" t="s">
        <v>83</v>
      </c>
      <c r="U20" s="63">
        <f>VLOOKUP(A20,Ratings!$A$5:$D$50,4,0)</f>
        <v>80.8</v>
      </c>
    </row>
    <row r="21" spans="1:23" x14ac:dyDescent="0.25">
      <c r="A21" s="61" t="s">
        <v>59</v>
      </c>
      <c r="B21" s="61" t="s">
        <v>95</v>
      </c>
      <c r="C21" s="61" t="s">
        <v>96</v>
      </c>
      <c r="D21" s="62"/>
      <c r="E21" s="62"/>
      <c r="F21" s="62">
        <v>5.486111111111111E-2</v>
      </c>
      <c r="G21" s="63">
        <f>VLOOKUP(A21,Ratings!$A$46:$F$54,6,0)</f>
        <v>91.7</v>
      </c>
      <c r="H21" s="64">
        <f>+F21*100/G21</f>
        <v>5.9826729674057909E-2</v>
      </c>
      <c r="I21" s="65">
        <v>3</v>
      </c>
      <c r="J21" s="65">
        <v>2</v>
      </c>
      <c r="L21" s="86">
        <f t="shared" si="2"/>
        <v>3.1000000000000085</v>
      </c>
      <c r="M21" s="55"/>
      <c r="P21" s="87" t="s">
        <v>83</v>
      </c>
      <c r="R21" s="64">
        <f t="shared" si="3"/>
        <v>5.9826729674057916E-2</v>
      </c>
      <c r="S21" s="61" t="s">
        <v>96</v>
      </c>
      <c r="U21" s="63">
        <f>VLOOKUP(A21,Ratings!$A$5:$D$50,4,0)</f>
        <v>88.6</v>
      </c>
    </row>
    <row r="22" spans="1:23" x14ac:dyDescent="0.25">
      <c r="A22" s="61" t="s">
        <v>45</v>
      </c>
      <c r="B22" s="61" t="s">
        <v>114</v>
      </c>
      <c r="C22" s="61" t="s">
        <v>46</v>
      </c>
      <c r="D22" s="62"/>
      <c r="E22" s="62"/>
      <c r="F22" s="62">
        <v>5.7638888888888885E-2</v>
      </c>
      <c r="G22" s="63">
        <f>VLOOKUP(A22,Ratings!$A$46:$F$54,6,0)</f>
        <v>94.14</v>
      </c>
      <c r="H22" s="64">
        <f t="shared" ref="H22:H27" si="4">+F22*100/G22</f>
        <v>6.1226778084649332E-2</v>
      </c>
      <c r="I22" s="65">
        <v>4</v>
      </c>
      <c r="J22" s="65">
        <v>2</v>
      </c>
      <c r="L22" s="86">
        <f t="shared" si="2"/>
        <v>6.1400000000000006</v>
      </c>
      <c r="M22" s="55"/>
      <c r="P22" s="87" t="s">
        <v>46</v>
      </c>
      <c r="R22" s="64">
        <f t="shared" si="3"/>
        <v>6.1226778084649339E-2</v>
      </c>
      <c r="S22" s="61" t="s">
        <v>46</v>
      </c>
      <c r="U22" s="63">
        <f>VLOOKUP(A22,Ratings!$A$5:$D$50,4,0)</f>
        <v>88</v>
      </c>
      <c r="W22" s="88">
        <f>F22/U22*100</f>
        <v>6.5498737373737376E-2</v>
      </c>
    </row>
    <row r="23" spans="1:23" x14ac:dyDescent="0.25">
      <c r="A23" s="61" t="s">
        <v>38</v>
      </c>
      <c r="B23" s="61" t="s">
        <v>116</v>
      </c>
      <c r="C23" s="61" t="s">
        <v>117</v>
      </c>
      <c r="D23" s="62"/>
      <c r="E23" s="62"/>
      <c r="F23" s="62">
        <v>5.6539351851851855E-2</v>
      </c>
      <c r="G23" s="63">
        <f>VLOOKUP(A23,Ratings!$A$46:$F$54,6,0)</f>
        <v>90.5</v>
      </c>
      <c r="H23" s="64">
        <f t="shared" si="4"/>
        <v>6.2474421935747905E-2</v>
      </c>
      <c r="I23" s="65">
        <v>5</v>
      </c>
      <c r="J23" s="65">
        <v>5</v>
      </c>
      <c r="L23" s="86">
        <f t="shared" si="2"/>
        <v>9.7000000000000028</v>
      </c>
      <c r="M23" s="55"/>
      <c r="P23" s="87" t="s">
        <v>117</v>
      </c>
      <c r="R23" s="64">
        <f t="shared" si="3"/>
        <v>6.2474421935747898E-2</v>
      </c>
      <c r="S23" s="61" t="s">
        <v>117</v>
      </c>
      <c r="U23" s="63">
        <f>VLOOKUP(A23,Ratings!$A$5:$D$50,4,0)</f>
        <v>80.8</v>
      </c>
    </row>
    <row r="24" spans="1:23" x14ac:dyDescent="0.25">
      <c r="A24" s="61" t="s">
        <v>38</v>
      </c>
      <c r="B24" s="61" t="s">
        <v>120</v>
      </c>
      <c r="C24" s="61" t="s">
        <v>144</v>
      </c>
      <c r="D24" s="62"/>
      <c r="E24" s="62"/>
      <c r="F24" s="62">
        <v>6.324074074074075E-2</v>
      </c>
      <c r="G24" s="63">
        <f>VLOOKUP(A24,Ratings!$A$46:$F$54,6,0)</f>
        <v>90.5</v>
      </c>
      <c r="H24" s="64">
        <f t="shared" si="4"/>
        <v>6.9879271536730111E-2</v>
      </c>
      <c r="I24" s="65">
        <v>6</v>
      </c>
      <c r="J24" s="65">
        <v>4</v>
      </c>
      <c r="L24" s="86">
        <f t="shared" si="2"/>
        <v>9.7000000000000028</v>
      </c>
      <c r="M24" s="55"/>
      <c r="P24" s="87" t="s">
        <v>144</v>
      </c>
      <c r="R24" s="64">
        <f t="shared" si="3"/>
        <v>6.9879271536730111E-2</v>
      </c>
      <c r="S24" s="61" t="s">
        <v>144</v>
      </c>
      <c r="U24" s="63">
        <f>VLOOKUP(A24,Ratings!$A$5:$D$50,4,0)</f>
        <v>80.8</v>
      </c>
    </row>
    <row r="25" spans="1:23" x14ac:dyDescent="0.25">
      <c r="A25" s="61" t="s">
        <v>27</v>
      </c>
      <c r="B25" s="61" t="s">
        <v>142</v>
      </c>
      <c r="C25" s="61" t="s">
        <v>143</v>
      </c>
      <c r="D25" s="62"/>
      <c r="E25" s="62"/>
      <c r="F25" s="62">
        <v>7.3668981481481488E-2</v>
      </c>
      <c r="G25" s="63">
        <f>VLOOKUP(A25,Ratings!$A$46:$F$54,6,0)</f>
        <v>98.74</v>
      </c>
      <c r="H25" s="64">
        <f t="shared" si="4"/>
        <v>7.4609055581812328E-2</v>
      </c>
      <c r="I25" s="65">
        <v>7</v>
      </c>
      <c r="J25" s="65">
        <v>3</v>
      </c>
      <c r="L25" s="86">
        <f t="shared" si="2"/>
        <v>6.1400000000000006</v>
      </c>
      <c r="M25" s="55"/>
      <c r="P25" s="87" t="s">
        <v>143</v>
      </c>
      <c r="R25" s="64">
        <f t="shared" si="3"/>
        <v>7.4609055581812328E-2</v>
      </c>
      <c r="S25" s="61" t="s">
        <v>143</v>
      </c>
      <c r="U25" s="63">
        <f>VLOOKUP(A25,Ratings!$A$5:$D$50,4,0)</f>
        <v>92.6</v>
      </c>
    </row>
    <row r="26" spans="1:23" x14ac:dyDescent="0.25">
      <c r="A26" s="61" t="s">
        <v>118</v>
      </c>
      <c r="B26" s="61" t="s">
        <v>97</v>
      </c>
      <c r="C26" s="61" t="s">
        <v>98</v>
      </c>
      <c r="D26" s="62"/>
      <c r="E26" s="62"/>
      <c r="F26" s="62">
        <v>0.10075231481481482</v>
      </c>
      <c r="G26" s="63">
        <f>VLOOKUP(A26,Ratings!$A$46:$F$54,6,0)</f>
        <v>124.14</v>
      </c>
      <c r="H26" s="64">
        <f t="shared" si="4"/>
        <v>8.1160234263585332E-2</v>
      </c>
      <c r="I26" s="65">
        <v>8</v>
      </c>
      <c r="J26" s="65">
        <v>1</v>
      </c>
      <c r="L26" s="86">
        <f t="shared" si="2"/>
        <v>6.1400000000000006</v>
      </c>
      <c r="M26" s="55"/>
      <c r="P26" s="87" t="s">
        <v>98</v>
      </c>
      <c r="R26" s="64">
        <f t="shared" si="3"/>
        <v>8.1160234263585318E-2</v>
      </c>
      <c r="S26" s="61" t="s">
        <v>98</v>
      </c>
      <c r="U26" s="82">
        <f>VLOOKUP(A26,Ratings!$A$5:$D$50,4,0)</f>
        <v>118</v>
      </c>
    </row>
    <row r="27" spans="1:23" x14ac:dyDescent="0.25">
      <c r="A27" s="61" t="s">
        <v>99</v>
      </c>
      <c r="B27" s="61" t="s">
        <v>100</v>
      </c>
      <c r="C27" s="61" t="s">
        <v>101</v>
      </c>
      <c r="D27" s="62"/>
      <c r="E27" s="62"/>
      <c r="F27" s="62">
        <v>9.7013888888888886E-2</v>
      </c>
      <c r="G27" s="63">
        <f>VLOOKUP(A27,Ratings!$A$46:$F$54,6,0)</f>
        <v>88.9</v>
      </c>
      <c r="H27" s="64">
        <f t="shared" si="4"/>
        <v>0.10912698412698413</v>
      </c>
      <c r="I27" s="65">
        <v>9</v>
      </c>
      <c r="J27" s="65">
        <v>3</v>
      </c>
      <c r="L27" s="86">
        <f t="shared" si="2"/>
        <v>3.7000000000000028</v>
      </c>
      <c r="M27" s="55" t="s">
        <v>148</v>
      </c>
      <c r="P27" s="87" t="s">
        <v>101</v>
      </c>
      <c r="R27" s="64">
        <f t="shared" si="3"/>
        <v>0.10912698412698411</v>
      </c>
      <c r="S27" s="61" t="s">
        <v>101</v>
      </c>
      <c r="U27" s="63">
        <f>VLOOKUP(A27,Ratings!$A$5:$D$50,4,0)</f>
        <v>85.2</v>
      </c>
    </row>
    <row r="28" spans="1:23" x14ac:dyDescent="0.25">
      <c r="L28" s="81"/>
    </row>
    <row r="30" spans="1:23" x14ac:dyDescent="0.25">
      <c r="G30">
        <v>671.2</v>
      </c>
    </row>
    <row r="31" spans="1:23" x14ac:dyDescent="0.25">
      <c r="D31" s="83" t="s">
        <v>152</v>
      </c>
      <c r="G31" s="84">
        <v>0.13203200000000001</v>
      </c>
    </row>
    <row r="32" spans="1:23" x14ac:dyDescent="0.25">
      <c r="G32" s="85">
        <f>G30*G31</f>
        <v>88.619878400000019</v>
      </c>
    </row>
  </sheetData>
  <sortState ref="A19:J27">
    <sortCondition ref="H19"/>
  </sortState>
  <pageMargins left="0.70866141732283472" right="0.70866141732283472" top="0.74803149606299213" bottom="0.74803149606299213" header="0.31496062992125984" footer="0.31496062992125984"/>
  <pageSetup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abSelected="1" workbookViewId="0"/>
  </sheetViews>
  <sheetFormatPr baseColWidth="10" defaultColWidth="9.140625" defaultRowHeight="15" x14ac:dyDescent="0.25"/>
  <cols>
    <col min="1" max="1" width="25.140625" bestFit="1" customWidth="1"/>
    <col min="2" max="2" width="22.7109375" bestFit="1" customWidth="1"/>
    <col min="3" max="4" width="13.42578125" customWidth="1"/>
    <col min="5" max="5" width="14.42578125" bestFit="1" customWidth="1"/>
    <col min="6" max="6" width="14.85546875" customWidth="1"/>
    <col min="7" max="7" width="17.140625" bestFit="1" customWidth="1"/>
    <col min="8" max="8" width="21.28515625" style="54" customWidth="1"/>
  </cols>
  <sheetData>
    <row r="1" spans="1:10" ht="21" x14ac:dyDescent="0.35">
      <c r="A1" s="52" t="s">
        <v>84</v>
      </c>
      <c r="B1" s="53">
        <v>43190</v>
      </c>
    </row>
    <row r="2" spans="1:10" x14ac:dyDescent="0.25">
      <c r="A2" s="4" t="s">
        <v>139</v>
      </c>
    </row>
    <row r="4" spans="1:10" x14ac:dyDescent="0.25">
      <c r="A4" s="56" t="s">
        <v>14</v>
      </c>
      <c r="B4" s="56" t="s">
        <v>15</v>
      </c>
      <c r="C4" s="56" t="s">
        <v>16</v>
      </c>
      <c r="D4" s="57" t="s">
        <v>85</v>
      </c>
      <c r="E4" s="57" t="s">
        <v>86</v>
      </c>
      <c r="F4" s="57" t="s">
        <v>87</v>
      </c>
      <c r="G4" s="57" t="s">
        <v>150</v>
      </c>
      <c r="H4" s="58" t="s">
        <v>88</v>
      </c>
      <c r="I4" s="59" t="s">
        <v>89</v>
      </c>
    </row>
    <row r="5" spans="1:10" s="55" customFormat="1" x14ac:dyDescent="0.25">
      <c r="A5" s="61" t="s">
        <v>132</v>
      </c>
      <c r="B5" s="61" t="s">
        <v>134</v>
      </c>
      <c r="C5" s="61"/>
      <c r="D5" s="62"/>
      <c r="E5" s="62"/>
      <c r="F5" s="62">
        <v>3.4525462962962966E-2</v>
      </c>
      <c r="G5" s="63">
        <f>VLOOKUP(A5,Ratings!$A$5:$D$50,4,0)</f>
        <v>62.4</v>
      </c>
      <c r="H5" s="64">
        <f t="shared" ref="H5:H13" si="0">+F5*100/G5</f>
        <v>5.5329267568850912E-2</v>
      </c>
      <c r="I5" s="65">
        <v>1</v>
      </c>
    </row>
    <row r="6" spans="1:10" s="55" customFormat="1" x14ac:dyDescent="0.25">
      <c r="A6" s="61" t="s">
        <v>126</v>
      </c>
      <c r="B6" s="61" t="s">
        <v>141</v>
      </c>
      <c r="C6" s="61" t="s">
        <v>83</v>
      </c>
      <c r="D6" s="62"/>
      <c r="E6" s="62"/>
      <c r="F6" s="62">
        <v>5.8136574074074077E-2</v>
      </c>
      <c r="G6" s="63">
        <f>VLOOKUP(A6,Ratings!$A$5:$D$50,4,0)</f>
        <v>80.8</v>
      </c>
      <c r="H6" s="64">
        <f t="shared" si="0"/>
        <v>7.1951205537220397E-2</v>
      </c>
      <c r="I6" s="65">
        <v>2</v>
      </c>
    </row>
    <row r="7" spans="1:10" x14ac:dyDescent="0.25">
      <c r="A7" s="61" t="s">
        <v>166</v>
      </c>
      <c r="B7" s="61" t="s">
        <v>167</v>
      </c>
      <c r="C7" s="61" t="s">
        <v>165</v>
      </c>
      <c r="D7" s="62"/>
      <c r="E7" s="62"/>
      <c r="F7" s="62">
        <v>6.3865740740740737E-2</v>
      </c>
      <c r="G7" s="82">
        <v>88</v>
      </c>
      <c r="H7" s="64">
        <f t="shared" si="0"/>
        <v>7.2574705387205382E-2</v>
      </c>
      <c r="I7" s="65">
        <v>3</v>
      </c>
      <c r="J7" t="s">
        <v>168</v>
      </c>
    </row>
    <row r="8" spans="1:10" x14ac:dyDescent="0.25">
      <c r="A8" s="61" t="s">
        <v>127</v>
      </c>
      <c r="B8" s="61" t="s">
        <v>111</v>
      </c>
      <c r="C8" s="61" t="s">
        <v>42</v>
      </c>
      <c r="D8" s="62"/>
      <c r="E8" s="62"/>
      <c r="F8" s="62">
        <v>0.10336805555555556</v>
      </c>
      <c r="G8" s="63">
        <f>VLOOKUP(A8,Ratings!$A$5:$D$50,4,0)</f>
        <v>103</v>
      </c>
      <c r="H8" s="64">
        <f t="shared" si="0"/>
        <v>0.10035733549083063</v>
      </c>
      <c r="I8" s="65">
        <v>4</v>
      </c>
    </row>
    <row r="9" spans="1:10" x14ac:dyDescent="0.25">
      <c r="A9" s="61" t="s">
        <v>104</v>
      </c>
      <c r="B9" s="61" t="s">
        <v>105</v>
      </c>
      <c r="C9" s="61"/>
      <c r="D9" s="62"/>
      <c r="E9" s="62"/>
      <c r="F9" s="62">
        <v>9.2314814814814808E-2</v>
      </c>
      <c r="G9" s="63">
        <f>VLOOKUP(A9,Ratings!$A$5:$D$50,4,0)</f>
        <v>91.9</v>
      </c>
      <c r="H9" s="64">
        <f t="shared" si="0"/>
        <v>0.10045137629468423</v>
      </c>
      <c r="I9" s="65">
        <v>5</v>
      </c>
    </row>
    <row r="10" spans="1:10" x14ac:dyDescent="0.25">
      <c r="A10" s="61" t="s">
        <v>45</v>
      </c>
      <c r="B10" s="61" t="s">
        <v>114</v>
      </c>
      <c r="C10" s="61" t="s">
        <v>46</v>
      </c>
      <c r="D10" s="62"/>
      <c r="E10" s="62"/>
      <c r="F10" s="62">
        <v>0.10143518518518518</v>
      </c>
      <c r="G10" s="63">
        <f>VLOOKUP(A10,Ratings!$A$5:$D$50,4,0)</f>
        <v>88</v>
      </c>
      <c r="H10" s="64">
        <f t="shared" si="0"/>
        <v>0.11526725589225589</v>
      </c>
      <c r="I10" s="65">
        <v>6</v>
      </c>
    </row>
    <row r="11" spans="1:10" x14ac:dyDescent="0.25">
      <c r="A11" s="61" t="s">
        <v>75</v>
      </c>
      <c r="B11" s="61" t="s">
        <v>128</v>
      </c>
      <c r="C11" s="61" t="s">
        <v>94</v>
      </c>
      <c r="D11" s="62"/>
      <c r="E11" s="62"/>
      <c r="F11" s="62" t="s">
        <v>110</v>
      </c>
      <c r="G11" s="63">
        <f>VLOOKUP(A11,Ratings!$A$5:$D$50,4,0)</f>
        <v>93.4</v>
      </c>
      <c r="H11" s="64" t="e">
        <f t="shared" si="0"/>
        <v>#VALUE!</v>
      </c>
      <c r="I11" s="65">
        <v>7</v>
      </c>
    </row>
    <row r="12" spans="1:10" s="55" customFormat="1" x14ac:dyDescent="0.25">
      <c r="A12" s="61" t="s">
        <v>38</v>
      </c>
      <c r="B12" s="61" t="s">
        <v>116</v>
      </c>
      <c r="C12" s="61" t="s">
        <v>117</v>
      </c>
      <c r="D12" s="62"/>
      <c r="E12" s="62"/>
      <c r="F12" s="62" t="s">
        <v>110</v>
      </c>
      <c r="G12" s="63">
        <f>VLOOKUP(A12,Ratings!$A$5:$D$50,4,0)</f>
        <v>80.8</v>
      </c>
      <c r="H12" s="64" t="e">
        <f t="shared" si="0"/>
        <v>#VALUE!</v>
      </c>
      <c r="I12" s="65">
        <v>7</v>
      </c>
    </row>
    <row r="13" spans="1:10" s="55" customFormat="1" x14ac:dyDescent="0.25">
      <c r="A13" s="61" t="s">
        <v>118</v>
      </c>
      <c r="B13" s="61" t="s">
        <v>97</v>
      </c>
      <c r="C13" s="61" t="s">
        <v>98</v>
      </c>
      <c r="D13" s="62"/>
      <c r="E13" s="62"/>
      <c r="F13" s="62" t="s">
        <v>110</v>
      </c>
      <c r="G13" s="63">
        <f>VLOOKUP(A13,Ratings!$A$5:$D$50,4,0)</f>
        <v>118</v>
      </c>
      <c r="H13" s="64" t="e">
        <f t="shared" si="0"/>
        <v>#VALUE!</v>
      </c>
      <c r="I13" s="65">
        <v>7</v>
      </c>
    </row>
  </sheetData>
  <sortState ref="A5:J13">
    <sortCondition ref="I5"/>
  </sortState>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C10"/>
  <sheetViews>
    <sheetView workbookViewId="0">
      <selection activeCell="C10" sqref="C10"/>
    </sheetView>
  </sheetViews>
  <sheetFormatPr baseColWidth="10" defaultRowHeight="15" x14ac:dyDescent="0.25"/>
  <cols>
    <col min="2" max="2" width="132.28515625" customWidth="1"/>
  </cols>
  <sheetData>
    <row r="6" spans="2:3" ht="75" x14ac:dyDescent="0.25">
      <c r="B6" s="69" t="s">
        <v>124</v>
      </c>
      <c r="C6" s="70">
        <v>90.3</v>
      </c>
    </row>
    <row r="7" spans="2:3" x14ac:dyDescent="0.25">
      <c r="C7" s="71">
        <v>88</v>
      </c>
    </row>
    <row r="8" spans="2:3" ht="45" x14ac:dyDescent="0.25">
      <c r="B8" s="69" t="s">
        <v>125</v>
      </c>
      <c r="C8" s="71">
        <v>90</v>
      </c>
    </row>
    <row r="9" spans="2:3" x14ac:dyDescent="0.25">
      <c r="C9" s="71"/>
    </row>
    <row r="10" spans="2:3" x14ac:dyDescent="0.25">
      <c r="C10" s="72">
        <f>ROUND(AVERAGE(C6:C8),1)</f>
        <v>89.4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Ratings</vt:lpstr>
      <vt:lpstr>Regata 10-2-18</vt:lpstr>
      <vt:lpstr>Regata 11-2-18</vt:lpstr>
      <vt:lpstr>Regata 13-2-18</vt:lpstr>
      <vt:lpstr>Regata 17-2-18</vt:lpstr>
      <vt:lpstr>Regata 31-3-18</vt:lpstr>
      <vt:lpstr>Aero</vt:lpstr>
      <vt:lpstr>Ratings!Área_de_impresión</vt:lpstr>
      <vt:lpstr>'Regata 10-2-18'!Área_de_impresión</vt:lpstr>
      <vt:lpstr>'Regata 11-2-18'!Área_de_impresión</vt:lpstr>
      <vt:lpstr>'Regata 13-2-18'!Área_de_impresión</vt:lpstr>
      <vt:lpstr>'Regata 17-2-18'!Área_de_impresión</vt:lpstr>
      <vt:lpstr>'Regata 31-3-18'!Área_de_impresión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Figueroa</dc:creator>
  <cp:lastModifiedBy>Felipe Figueroa</cp:lastModifiedBy>
  <dcterms:created xsi:type="dcterms:W3CDTF">2018-02-14T13:11:17Z</dcterms:created>
  <dcterms:modified xsi:type="dcterms:W3CDTF">2018-03-31T20:27:59Z</dcterms:modified>
</cp:coreProperties>
</file>